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3"/>
  </bookViews>
  <sheets>
    <sheet name="Isolated" sheetId="1" r:id="rId1"/>
    <sheet name="Single-cell" sheetId="2" r:id="rId2"/>
    <sheet name="Chimney" sheetId="3" r:id="rId3"/>
    <sheet name="IAQ" sheetId="4" r:id="rId4"/>
    <sheet name="Worksheet" sheetId="5" r:id="rId5"/>
  </sheets>
  <definedNames>
    <definedName name="alpha">'Worksheet'!$C$20</definedName>
    <definedName name="alpha_c">'Worksheet'!$C$59</definedName>
    <definedName name="Cd_c">'Chimney'!$B$10</definedName>
    <definedName name="CO2_emission_rate">'IAQ'!$C$4</definedName>
    <definedName name="Condition_set">'IAQ'!$A$8:$D$12</definedName>
    <definedName name="Cp_1">'Single-cell'!$C$19</definedName>
    <definedName name="Cp_1c">'Chimney'!$C$19</definedName>
    <definedName name="Cp_2">'Single-cell'!$C$20</definedName>
    <definedName name="Cp_2c">'Chimney'!$C$20</definedName>
    <definedName name="Cp_3">'Single-cell'!$C$21</definedName>
    <definedName name="Cp_3c">'Chimney'!$C$21</definedName>
    <definedName name="Cp_4">'Single-cell'!$C$22</definedName>
    <definedName name="Cp_4c">'Chimney'!$C$22</definedName>
    <definedName name="Emissions">'Worksheet'!$E$65:$E$89</definedName>
    <definedName name="g">'Worksheet'!$B$6</definedName>
    <definedName name="Hcb">'Chimney'!$B$13</definedName>
    <definedName name="hcc">'Chimney'!$B$9</definedName>
    <definedName name="Initial_CO2_conc">'IAQ'!$C$5</definedName>
    <definedName name="Initial_vpm">'Worksheet'!$H$65:$H$89</definedName>
    <definedName name="K">'Worksheet'!$B$20</definedName>
    <definedName name="Kc">'Worksheet'!$B$59</definedName>
    <definedName name="l_c">'Chimney'!$B$8</definedName>
    <definedName name="Occupants">'Worksheet'!$D$65:$D$89</definedName>
    <definedName name="Outside_CO2">'Worksheet'!$C$65:$C$89</definedName>
    <definedName name="Pci">'Worksheet'!$B$57</definedName>
    <definedName name="_xlnm.Print_Area" localSheetId="1">'Single-cell'!$A$1:$I$28</definedName>
    <definedName name="_xlnm.Print_Area" localSheetId="4">'Worksheet'!$E$1:$G$56</definedName>
    <definedName name="Psi">'Worksheet'!$B$30</definedName>
    <definedName name="Ref_density_diff">'Worksheet'!$B$12</definedName>
    <definedName name="rho_c_c">'Worksheet'!$B$49</definedName>
    <definedName name="rho_c_e">'Worksheet'!$B$47</definedName>
    <definedName name="rho_c_r">'Worksheet'!$B$48</definedName>
    <definedName name="rho_e">'Worksheet'!$B$10</definedName>
    <definedName name="rho_ref">'Worksheet'!$B$4</definedName>
    <definedName name="Room_volume">'IAQ'!$C$3</definedName>
    <definedName name="Site_wind_speed">'Single-cell'!$B$14</definedName>
    <definedName name="StratIndex">'Single-cell'!$B$9</definedName>
    <definedName name="Tbs">'Single-cell'!$B$8</definedName>
    <definedName name="Tcchimney">'Chimney'!$B$7</definedName>
    <definedName name="Tcout">'Chimney'!$B$4</definedName>
    <definedName name="Tcroom">'Chimney'!$B$5</definedName>
    <definedName name="Tnpl">'Worksheet'!$C$38</definedName>
    <definedName name="Tout">'Worksheet'!$B$39</definedName>
    <definedName name="Tref">'Worksheet'!$B$5</definedName>
    <definedName name="Tstack">'Single-cell'!$B$7</definedName>
    <definedName name="VcMet">'Chimney'!$B$12</definedName>
    <definedName name="VcSite">'Chimney'!$B$15</definedName>
    <definedName name="Vmet">'Single-cell'!$B$11</definedName>
    <definedName name="Volume_flow">'Worksheet'!$G$65:$G$89</definedName>
    <definedName name="Z_1">'Single-cell'!$B$19</definedName>
    <definedName name="Z_1c">'Chimney'!$B$19</definedName>
    <definedName name="Z_2">'Single-cell'!$B$20</definedName>
    <definedName name="Z_2c">'Chimney'!$B$20</definedName>
    <definedName name="Z_3">'Single-cell'!$B$21</definedName>
    <definedName name="Z_3c">'Chimney'!$B$21</definedName>
    <definedName name="Z_4">'Single-cell'!$B$22</definedName>
    <definedName name="Z_4c">'Chimney'!$B$22</definedName>
    <definedName name="Z_b">'Single-cell'!$B$12</definedName>
    <definedName name="Z_stack">'Single-cell'!$B$6</definedName>
  </definedNames>
  <calcPr fullCalcOnLoad="1"/>
</workbook>
</file>

<file path=xl/comments4.xml><?xml version="1.0" encoding="utf-8"?>
<comments xmlns="http://schemas.openxmlformats.org/spreadsheetml/2006/main">
  <authors>
    <author>Steve Irving</author>
  </authors>
  <commentList>
    <comment ref="B14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For each hour in the day, allocate one of the condition sets from the above table.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AM10: 
</t>
        </r>
        <r>
          <rPr>
            <sz val="8"/>
            <rFont val="Tahoma"/>
            <family val="2"/>
          </rPr>
          <t>The number in this column is the time at the beginning of the hour, i.e. the first row of data is the hour from midnight to 01:00 am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To achieve a repeating cycle, enter the calculated value of the concentration at hour=24 in this cell
</t>
        </r>
      </text>
    </comment>
  </commentList>
</comments>
</file>

<file path=xl/comments5.xml><?xml version="1.0" encoding="utf-8"?>
<comments xmlns="http://schemas.openxmlformats.org/spreadsheetml/2006/main">
  <authors>
    <author>Steve Irving</author>
  </authors>
  <commentList>
    <comment ref="A39" authorId="0">
      <text>
        <r>
          <rPr>
            <b/>
            <sz val="8"/>
            <rFont val="Tahoma"/>
            <family val="0"/>
          </rPr>
          <t>Steve Irving:</t>
        </r>
        <r>
          <rPr>
            <sz val="8"/>
            <rFont val="Tahoma"/>
            <family val="0"/>
          </rPr>
          <t xml:space="preserve">
This check is to avoid a divide by zero if outside and NPL temps are equal (I.e.there is no stack effect)</t>
        </r>
      </text>
    </comment>
  </commentList>
</comments>
</file>

<file path=xl/sharedStrings.xml><?xml version="1.0" encoding="utf-8"?>
<sst xmlns="http://schemas.openxmlformats.org/spreadsheetml/2006/main" count="324" uniqueCount="279">
  <si>
    <t>Temperature data</t>
  </si>
  <si>
    <t>Stratification index</t>
  </si>
  <si>
    <t>Height m</t>
  </si>
  <si>
    <t>Cp</t>
  </si>
  <si>
    <t>g</t>
  </si>
  <si>
    <t>rho_ref</t>
  </si>
  <si>
    <t>StratIndex</t>
  </si>
  <si>
    <t>Tbs</t>
  </si>
  <si>
    <t>Tnpl</t>
  </si>
  <si>
    <t>Tout</t>
  </si>
  <si>
    <t>Ref_density_diff</t>
  </si>
  <si>
    <t>Z_1</t>
  </si>
  <si>
    <t>Z_2</t>
  </si>
  <si>
    <t>Z_3</t>
  </si>
  <si>
    <t>Z_4</t>
  </si>
  <si>
    <t>Flow m3/s</t>
  </si>
  <si>
    <t>Cd</t>
  </si>
  <si>
    <t>Building height (m)</t>
  </si>
  <si>
    <t>Met wind speed (m/s)</t>
  </si>
  <si>
    <t>Open flat country</t>
  </si>
  <si>
    <t>Country with scattered windbreaks</t>
  </si>
  <si>
    <t>Urban</t>
  </si>
  <si>
    <t>City</t>
  </si>
  <si>
    <t>K</t>
  </si>
  <si>
    <t>alpha</t>
  </si>
  <si>
    <t>Index selected by Terrain combo box</t>
  </si>
  <si>
    <t>Wind data</t>
  </si>
  <si>
    <t>Terrain type</t>
  </si>
  <si>
    <t>Site wind speed (m/s)</t>
  </si>
  <si>
    <t>Opening data</t>
  </si>
  <si>
    <t>CdA (m2)</t>
  </si>
  <si>
    <t>A (m2)</t>
  </si>
  <si>
    <t>Worksheet</t>
  </si>
  <si>
    <t>Basic data</t>
  </si>
  <si>
    <t>Reference density (kg/m3)</t>
  </si>
  <si>
    <t>Ref density difference (kg/m3)</t>
  </si>
  <si>
    <t>Gravitational accn (m/s2)</t>
  </si>
  <si>
    <t>Terrain data</t>
  </si>
  <si>
    <t>Values used in the analysis</t>
  </si>
  <si>
    <t>Scroll bars</t>
  </si>
  <si>
    <t>Variable list</t>
  </si>
  <si>
    <t>Cp_1</t>
  </si>
  <si>
    <t>Cp_2</t>
  </si>
  <si>
    <t>Cp_3</t>
  </si>
  <si>
    <t>Cp_4</t>
  </si>
  <si>
    <t>=Worksheet!$B$5</t>
  </si>
  <si>
    <t>=Worksheet!$B$4</t>
  </si>
  <si>
    <t>Site_wind_speed</t>
  </si>
  <si>
    <t>Vmet</t>
  </si>
  <si>
    <t>Temperature profile</t>
  </si>
  <si>
    <t>Heights</t>
  </si>
  <si>
    <t>Outside temperature (C)</t>
  </si>
  <si>
    <t>Temp (C)</t>
  </si>
  <si>
    <t>Opng hts (m)</t>
  </si>
  <si>
    <t>the temperature is (C)</t>
  </si>
  <si>
    <t>Z_b</t>
  </si>
  <si>
    <t>Z_stack</t>
  </si>
  <si>
    <t>Print_Area</t>
  </si>
  <si>
    <t>Tstack</t>
  </si>
  <si>
    <t>Tout check</t>
  </si>
  <si>
    <t>Location</t>
  </si>
  <si>
    <t>Description</t>
  </si>
  <si>
    <t>Terrain index exponent</t>
  </si>
  <si>
    <t>Press coefficient on opening 1</t>
  </si>
  <si>
    <t>ditto for 2</t>
  </si>
  <si>
    <t>ditto for 3</t>
  </si>
  <si>
    <t>ditto for 4</t>
  </si>
  <si>
    <t>gravitational accn</t>
  </si>
  <si>
    <t>Terrain index constant</t>
  </si>
  <si>
    <t>Excel variable</t>
  </si>
  <si>
    <t>Density difference inside to outside @ zero height</t>
  </si>
  <si>
    <t>Reference density</t>
  </si>
  <si>
    <t>Calculated for site</t>
  </si>
  <si>
    <t>Generates vertical temp profile</t>
  </si>
  <si>
    <t>Temp @ bottom of stack</t>
  </si>
  <si>
    <t>Temp @ NPL</t>
  </si>
  <si>
    <t>Temp outside</t>
  </si>
  <si>
    <t>T in stack at height Z_stack</t>
  </si>
  <si>
    <t>Met wind speed</t>
  </si>
  <si>
    <t>height of opening 1</t>
  </si>
  <si>
    <t>Building height (for wind speed calcs)</t>
  </si>
  <si>
    <t>height at which stack temp is given</t>
  </si>
  <si>
    <t>Use meteorological value</t>
  </si>
  <si>
    <t>Opening Number</t>
  </si>
  <si>
    <t>Relative size</t>
  </si>
  <si>
    <t>Press drop (Pa)</t>
  </si>
  <si>
    <t>Stack temperatures (C)</t>
  </si>
  <si>
    <t>at a height of X (m)</t>
  </si>
  <si>
    <t>='Single-cell'!$C$19</t>
  </si>
  <si>
    <t>='Single-cell'!$C$20</t>
  </si>
  <si>
    <t>='Single-cell'!$C$21</t>
  </si>
  <si>
    <t>='Single-cell'!$B$14</t>
  </si>
  <si>
    <t>='Single-cell'!$B$9</t>
  </si>
  <si>
    <t>='Single-cell'!$B$8</t>
  </si>
  <si>
    <t>='Single-cell'!$B$7</t>
  </si>
  <si>
    <t>='Single-cell'!$B$11</t>
  </si>
  <si>
    <t>='Single-cell'!$B$19</t>
  </si>
  <si>
    <t>='Single-cell'!$B$20</t>
  </si>
  <si>
    <t>='Single-cell'!$B$21</t>
  </si>
  <si>
    <t>='Single-cell'!$B$12</t>
  </si>
  <si>
    <t>='Single-cell'!$B$6</t>
  </si>
  <si>
    <t>CIBSE AM10 Design tool for isolated spaces</t>
  </si>
  <si>
    <t>Required flowrate (m3/s)</t>
  </si>
  <si>
    <t>Discharge coefficient</t>
  </si>
  <si>
    <t>Inside temperature (C)</t>
  </si>
  <si>
    <t>Number of openings</t>
  </si>
  <si>
    <t>Single sided ventilation - no. of openings</t>
  </si>
  <si>
    <t>Selected option</t>
  </si>
  <si>
    <t>Cases 1 and 2 - Single sided ventilation through buoyancy alone</t>
  </si>
  <si>
    <t>Case 3 - Single sided ventilation through an open window by wind alone</t>
  </si>
  <si>
    <t>Wind speed at building height (m/s)</t>
  </si>
  <si>
    <t>Required area</t>
  </si>
  <si>
    <t>Flow coefficient</t>
  </si>
  <si>
    <t>Case 4 - Cross-flow ventilation by wind alone</t>
  </si>
  <si>
    <t>windward side</t>
  </si>
  <si>
    <t>leeward side</t>
  </si>
  <si>
    <t>Wind pressure coefficients</t>
  </si>
  <si>
    <t>CIBSE AM10 Design tool for buildings with chimneys</t>
  </si>
  <si>
    <t>Room temperature (C)</t>
  </si>
  <si>
    <t>Chimney temperature (C)</t>
  </si>
  <si>
    <t>Chimney data</t>
  </si>
  <si>
    <t>Chimney length (m)</t>
  </si>
  <si>
    <t>Height of chimney above building (m)</t>
  </si>
  <si>
    <t>Single Cell data</t>
  </si>
  <si>
    <t>Isolated Data</t>
  </si>
  <si>
    <t>Chimney Data</t>
  </si>
  <si>
    <t>Cd_c</t>
  </si>
  <si>
    <t>=Chimney!$B$10</t>
  </si>
  <si>
    <t>l_c</t>
  </si>
  <si>
    <t>=Chimney!$B$8</t>
  </si>
  <si>
    <t>Tcchimney</t>
  </si>
  <si>
    <t>=Chimney!$B$7</t>
  </si>
  <si>
    <t>Tcout</t>
  </si>
  <si>
    <t>=Chimney!$B$4</t>
  </si>
  <si>
    <t>Tcroom</t>
  </si>
  <si>
    <t>=Chimney!$B$5</t>
  </si>
  <si>
    <t>Discharge coefficient for chimney</t>
  </si>
  <si>
    <t>Length of chimney</t>
  </si>
  <si>
    <t>Temperature in chimney</t>
  </si>
  <si>
    <t>Outside temperture for chimney case</t>
  </si>
  <si>
    <t>Room temperature for chimney case</t>
  </si>
  <si>
    <t>External density</t>
  </si>
  <si>
    <t>Room density</t>
  </si>
  <si>
    <t>Chimney density</t>
  </si>
  <si>
    <t>Adjust this slider bar to vary the internal pressure</t>
  </si>
  <si>
    <t>Internal pressure slider</t>
  </si>
  <si>
    <t>Internal pressure</t>
  </si>
  <si>
    <t>Terrain class</t>
  </si>
  <si>
    <t>values used in analysis for K and alpha</t>
  </si>
  <si>
    <t>Minimum internal pressure</t>
  </si>
  <si>
    <t>alpha_c</t>
  </si>
  <si>
    <t>Hcb</t>
  </si>
  <si>
    <t>=Chimney!$B$13</t>
  </si>
  <si>
    <t>hcc</t>
  </si>
  <si>
    <t>=Chimney!$B$9</t>
  </si>
  <si>
    <t>Kc</t>
  </si>
  <si>
    <t>Pci</t>
  </si>
  <si>
    <t>rho_c_c</t>
  </si>
  <si>
    <t>=Worksheet!$B$47</t>
  </si>
  <si>
    <t>rho_c_e</t>
  </si>
  <si>
    <t>rho_c_r</t>
  </si>
  <si>
    <t>Ditto for chimney case</t>
  </si>
  <si>
    <t>Building height in chimney case</t>
  </si>
  <si>
    <t>height of chimney</t>
  </si>
  <si>
    <t>Internal pressure for chimney case</t>
  </si>
  <si>
    <t>Density in chimney</t>
  </si>
  <si>
    <t>Density of outside air chimney case</t>
  </si>
  <si>
    <t>Room density chimney case</t>
  </si>
  <si>
    <t>Cp_1c</t>
  </si>
  <si>
    <t>=Chimney!$C$19</t>
  </si>
  <si>
    <t>Cp_2c</t>
  </si>
  <si>
    <t>=Chimney!$C$20</t>
  </si>
  <si>
    <t>Cp_3c</t>
  </si>
  <si>
    <t>=Chimney!$C$21</t>
  </si>
  <si>
    <t>Cp_4c</t>
  </si>
  <si>
    <t>=Chimney!$C$22</t>
  </si>
  <si>
    <t>VcMet</t>
  </si>
  <si>
    <t>=Chimney!$B$12</t>
  </si>
  <si>
    <t>VcSite</t>
  </si>
  <si>
    <t>=Chimney!$B$15</t>
  </si>
  <si>
    <t>Z_1c</t>
  </si>
  <si>
    <t>=Chimney!$B$19</t>
  </si>
  <si>
    <t>Z_2c</t>
  </si>
  <si>
    <t>=Chimney!$B$20</t>
  </si>
  <si>
    <t>Z_3c</t>
  </si>
  <si>
    <t>=Chimney!$B$21</t>
  </si>
  <si>
    <t>Z_4c</t>
  </si>
  <si>
    <t>=Chimney!$B$22</t>
  </si>
  <si>
    <t>Variable name</t>
  </si>
  <si>
    <t>ditto for chimney case</t>
  </si>
  <si>
    <t>Met wind speed chimney case</t>
  </si>
  <si>
    <t>Site wind speed chimney case</t>
  </si>
  <si>
    <t>value of Psi scroll bar (0-1000)</t>
  </si>
  <si>
    <t>Maximum internal pressure</t>
  </si>
  <si>
    <t>Psi</t>
  </si>
  <si>
    <t>Internal pressure for stack case</t>
  </si>
  <si>
    <t>Max internal pressure</t>
  </si>
  <si>
    <t>Maximum internal pressure (1)</t>
  </si>
  <si>
    <t>Maximum internal pressure (2)</t>
  </si>
  <si>
    <t>Maximum internal pressure (3)</t>
  </si>
  <si>
    <t>maximum internal pressure</t>
  </si>
  <si>
    <t>Reference temperature (C)</t>
  </si>
  <si>
    <t>Internal density</t>
  </si>
  <si>
    <t>=Worksheet!$C$20</t>
  </si>
  <si>
    <t>=Worksheet!$B$6</t>
  </si>
  <si>
    <t>=Worksheet!$B$20</t>
  </si>
  <si>
    <t>=Worksheet!$B$12</t>
  </si>
  <si>
    <t>rho_e</t>
  </si>
  <si>
    <t>=Worksheet!$B$10</t>
  </si>
  <si>
    <t>Tref</t>
  </si>
  <si>
    <t>=Worksheet!$B$30</t>
  </si>
  <si>
    <t>Temp at which ref density is defined</t>
  </si>
  <si>
    <t>=Worksheet!$C$59</t>
  </si>
  <si>
    <t>=Worksheet!$B$59</t>
  </si>
  <si>
    <t>=Worksheet!$E$1:$G$56</t>
  </si>
  <si>
    <t>=Worksheet!$B$49</t>
  </si>
  <si>
    <t>=Worksheet!$B$48</t>
  </si>
  <si>
    <t>=Worksheet!$C$38</t>
  </si>
  <si>
    <t>=Worksheet!$B$39</t>
  </si>
  <si>
    <t>density of outside air in single cell case</t>
  </si>
  <si>
    <t>=Worksheet!$B$57</t>
  </si>
  <si>
    <t>at ground level it is (C)</t>
  </si>
  <si>
    <t>CIBSE AM10 Design tool for single cell buildings (cases 5 and 6)</t>
  </si>
  <si>
    <t>Chimney outlet</t>
  </si>
  <si>
    <t>Outlet</t>
  </si>
  <si>
    <t>CIBSE AM10 Design tool for IAQ analysis (based on CO2 as proxy)</t>
  </si>
  <si>
    <t>Room volume (m3)</t>
  </si>
  <si>
    <t>Occupants</t>
  </si>
  <si>
    <t>Emissions</t>
  </si>
  <si>
    <t>Outside CO2 vpm</t>
  </si>
  <si>
    <t>air change rate (hr-1)</t>
  </si>
  <si>
    <t>Volume flow m3/s</t>
  </si>
  <si>
    <t>Initial vpm</t>
  </si>
  <si>
    <t>Final vpm</t>
  </si>
  <si>
    <t>Emissions ml/s</t>
  </si>
  <si>
    <t>No. of Occupants</t>
  </si>
  <si>
    <t>Air change rate (hr-1)</t>
  </si>
  <si>
    <t>Hour</t>
  </si>
  <si>
    <t>Condition set</t>
  </si>
  <si>
    <t>Condition set for hour</t>
  </si>
  <si>
    <t xml:space="preserve">IAQ analysis </t>
  </si>
  <si>
    <t>CO2_emission_rate</t>
  </si>
  <si>
    <t>Condition_set</t>
  </si>
  <si>
    <t>='Single-cell'!$C$22</t>
  </si>
  <si>
    <t>=Worksheet!$E$81:$E$105</t>
  </si>
  <si>
    <t>Initial_vpm</t>
  </si>
  <si>
    <t>=Worksheet!$H$81:$H$105</t>
  </si>
  <si>
    <t>=Worksheet!$D$81:$D$105</t>
  </si>
  <si>
    <t>Outside_CO2</t>
  </si>
  <si>
    <t>=Worksheet!$C$81:$C$105</t>
  </si>
  <si>
    <t>Room_volume</t>
  </si>
  <si>
    <t>Volume_flow</t>
  </si>
  <si>
    <t>=Worksheet!$G$81:$G$105</t>
  </si>
  <si>
    <t>='Single-cell'!$B$22</t>
  </si>
  <si>
    <t xml:space="preserve">Co2 emissions per person </t>
  </si>
  <si>
    <t>sets of parameters for IAQ analysis</t>
  </si>
  <si>
    <t>Profile of CO2 emissions</t>
  </si>
  <si>
    <t>Array of CO2 concentration at start of each hour</t>
  </si>
  <si>
    <t>Profile of no. of occupants</t>
  </si>
  <si>
    <t>Room vol for IAQ analysis</t>
  </si>
  <si>
    <t>Profile of volume flows for IAQ</t>
  </si>
  <si>
    <t>CO2 emission rate (l/hr.p)</t>
  </si>
  <si>
    <t>=IAQ!$C$4</t>
  </si>
  <si>
    <t>=IAQ!$A$8:$D$12</t>
  </si>
  <si>
    <t>Initial_CO2_conc</t>
  </si>
  <si>
    <t>=IAQ!$C$5</t>
  </si>
  <si>
    <t>=IAQ!$C$3</t>
  </si>
  <si>
    <t>Initial CO2 concn</t>
  </si>
  <si>
    <t>Condition set applying this hour</t>
  </si>
  <si>
    <t>Hour beginning</t>
  </si>
  <si>
    <t>Outside CO2 ppmv</t>
  </si>
  <si>
    <t>Concn at end of hour (ppmv)</t>
  </si>
  <si>
    <t>Initial CO2 concentration (ppmv)</t>
  </si>
  <si>
    <t>Rate equiv. to 10l/s.p</t>
  </si>
  <si>
    <t>Occupied hours</t>
  </si>
  <si>
    <t>Av. during occupied hours</t>
  </si>
  <si>
    <t>Max deviation from average</t>
  </si>
  <si>
    <t>Max concn during occ. hours (ppmv)</t>
  </si>
  <si>
    <t>Av. concn during occ. hours (ppmv)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</si>
</sst>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%"/>
    <numFmt numFmtId="168" formatCode="0.000000"/>
    <numFmt numFmtId="169" formatCode="h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.5"/>
      <name val="Arial"/>
      <family val="0"/>
    </font>
    <font>
      <b/>
      <sz val="12"/>
      <color indexed="14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indent="3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65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2" fontId="0" fillId="3" borderId="1" xfId="0" applyNumberFormat="1" applyFill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/>
      <protection/>
    </xf>
    <xf numFmtId="0" fontId="0" fillId="0" borderId="1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4" borderId="1" xfId="0" applyNumberFormat="1" applyFill="1" applyBorder="1" applyAlignment="1">
      <alignment horizontal="center"/>
    </xf>
    <xf numFmtId="165" fontId="0" fillId="0" borderId="0" xfId="0" applyNumberFormat="1" applyFill="1" applyAlignment="1" applyProtection="1">
      <alignment horizontal="left" indent="3"/>
      <protection locked="0"/>
    </xf>
    <xf numFmtId="167" fontId="0" fillId="0" borderId="0" xfId="0" applyNumberFormat="1" applyFont="1" applyFill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left" indent="1"/>
    </xf>
    <xf numFmtId="0" fontId="0" fillId="0" borderId="0" xfId="0" applyAlignment="1" applyProtection="1">
      <alignment/>
      <protection locked="0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166" fontId="0" fillId="3" borderId="1" xfId="0" applyNumberFormat="1" applyFill="1" applyBorder="1" applyAlignment="1">
      <alignment wrapText="1"/>
    </xf>
    <xf numFmtId="0" fontId="0" fillId="4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left" wrapText="1"/>
      <protection/>
    </xf>
    <xf numFmtId="166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2" fontId="1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55"/>
          <c:w val="0.8577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v>Area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793738"/>
        <c:axId val="18490459"/>
      </c:barChart>
      <c:lineChart>
        <c:grouping val="standard"/>
        <c:varyColors val="0"/>
        <c:ser>
          <c:idx val="0"/>
          <c:order val="1"/>
          <c:tx>
            <c:v>Rel. size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2196404"/>
        <c:axId val="21332181"/>
      </c:lineChart>
      <c:catAx>
        <c:axId val="46793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90459"/>
        <c:crosses val="autoZero"/>
        <c:auto val="0"/>
        <c:lblOffset val="100"/>
        <c:tickLblSkip val="1"/>
        <c:noMultiLvlLbl val="0"/>
      </c:catAx>
      <c:valAx>
        <c:axId val="18490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6793738"/>
        <c:crossesAt val="1"/>
        <c:crossBetween val="between"/>
        <c:dispUnits/>
      </c:valAx>
      <c:catAx>
        <c:axId val="32196404"/>
        <c:scaling>
          <c:orientation val="minMax"/>
        </c:scaling>
        <c:axPos val="b"/>
        <c:delete val="1"/>
        <c:majorTickMark val="in"/>
        <c:minorTickMark val="none"/>
        <c:tickLblPos val="nextTo"/>
        <c:crossAx val="21332181"/>
        <c:crosses val="autoZero"/>
        <c:auto val="0"/>
        <c:lblOffset val="100"/>
        <c:tickLblSkip val="1"/>
        <c:noMultiLvlLbl val="0"/>
      </c:catAx>
      <c:valAx>
        <c:axId val="2133218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21964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Stack temperature profile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48"/>
          <c:w val="0.83025"/>
          <c:h val="0.74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Worksheet!$C$33:$C$37</c:f>
              <c:numCache>
                <c:ptCount val="5"/>
                <c:pt idx="0">
                  <c:v>28</c:v>
                </c:pt>
                <c:pt idx="1">
                  <c:v>28.00002009648035</c:v>
                </c:pt>
                <c:pt idx="2">
                  <c:v>28.02433807118528</c:v>
                </c:pt>
                <c:pt idx="3">
                  <c:v>28.78846682642488</c:v>
                </c:pt>
                <c:pt idx="4">
                  <c:v>37.70644000282825</c:v>
                </c:pt>
              </c:numCache>
            </c:numRef>
          </c:xVal>
          <c:yVal>
            <c:numRef>
              <c:f>Worksheet!$B$33:$B$37</c:f>
              <c:numCache>
                <c:ptCount val="5"/>
                <c:pt idx="0">
                  <c:v>0</c:v>
                </c:pt>
                <c:pt idx="1">
                  <c:v>1.85</c:v>
                </c:pt>
                <c:pt idx="2">
                  <c:v>5.1</c:v>
                </c:pt>
                <c:pt idx="3">
                  <c:v>8.35</c:v>
                </c:pt>
                <c:pt idx="4">
                  <c:v>11.5</c:v>
                </c:pt>
              </c:numCache>
            </c:numRef>
          </c:yVal>
          <c:smooth val="1"/>
        </c:ser>
        <c:axId val="57771902"/>
        <c:axId val="50185071"/>
      </c:scatterChart>
      <c:valAx>
        <c:axId val="57771902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85071"/>
        <c:crosses val="autoZero"/>
        <c:crossBetween val="midCat"/>
        <c:dispUnits/>
      </c:valAx>
      <c:valAx>
        <c:axId val="50185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71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Chimney!$H$18</c:f>
              <c:strCache>
                <c:ptCount val="1"/>
                <c:pt idx="0">
                  <c:v>A (m2)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012456"/>
        <c:axId val="38458921"/>
      </c:barChart>
      <c:lineChart>
        <c:grouping val="standard"/>
        <c:varyColors val="0"/>
        <c:ser>
          <c:idx val="0"/>
          <c:order val="1"/>
          <c:tx>
            <c:strRef>
              <c:f>Chimney!$I$18</c:f>
              <c:strCache>
                <c:ptCount val="1"/>
                <c:pt idx="0">
                  <c:v>Relative size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0585970"/>
        <c:axId val="28164867"/>
      </c:lineChart>
      <c:catAx>
        <c:axId val="49012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58921"/>
        <c:crosses val="autoZero"/>
        <c:auto val="0"/>
        <c:lblOffset val="100"/>
        <c:tickLblSkip val="1"/>
        <c:noMultiLvlLbl val="0"/>
      </c:catAx>
      <c:valAx>
        <c:axId val="38458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9012456"/>
        <c:crossesAt val="1"/>
        <c:crossBetween val="between"/>
        <c:dispUnits/>
      </c:valAx>
      <c:catAx>
        <c:axId val="10585970"/>
        <c:scaling>
          <c:orientation val="minMax"/>
        </c:scaling>
        <c:axPos val="b"/>
        <c:delete val="1"/>
        <c:majorTickMark val="in"/>
        <c:minorTickMark val="none"/>
        <c:tickLblPos val="nextTo"/>
        <c:crossAx val="28164867"/>
        <c:crosses val="autoZero"/>
        <c:auto val="0"/>
        <c:lblOffset val="100"/>
        <c:tickLblSkip val="1"/>
        <c:noMultiLvlLbl val="0"/>
      </c:catAx>
      <c:valAx>
        <c:axId val="2816486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859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Internal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Worksheet!$I$65:$I$89</c:f>
              <c:numCache>
                <c:ptCount val="25"/>
                <c:pt idx="0">
                  <c:v>693.6847855694109</c:v>
                </c:pt>
                <c:pt idx="1">
                  <c:v>617.6619801311851</c:v>
                </c:pt>
                <c:pt idx="2">
                  <c:v>558.4553597246098</c:v>
                </c:pt>
                <c:pt idx="3">
                  <c:v>512.3451973889576</c:v>
                </c:pt>
                <c:pt idx="4">
                  <c:v>476.43456685440196</c:v>
                </c:pt>
                <c:pt idx="5">
                  <c:v>448.4673396735021</c:v>
                </c:pt>
                <c:pt idx="6">
                  <c:v>426.6864412446815</c:v>
                </c:pt>
                <c:pt idx="7">
                  <c:v>409.7234604923172</c:v>
                </c:pt>
                <c:pt idx="8">
                  <c:v>996.1219152628842</c:v>
                </c:pt>
                <c:pt idx="9">
                  <c:v>1430.5365751365243</c:v>
                </c:pt>
                <c:pt idx="10">
                  <c:v>1752.358870502168</c:v>
                </c:pt>
                <c:pt idx="11">
                  <c:v>598.4639525366941</c:v>
                </c:pt>
                <c:pt idx="12">
                  <c:v>588.9676892406886</c:v>
                </c:pt>
                <c:pt idx="13">
                  <c:v>1128.9093058717194</c:v>
                </c:pt>
                <c:pt idx="14">
                  <c:v>1528.9078935763298</c:v>
                </c:pt>
                <c:pt idx="15">
                  <c:v>1825.2341355948593</c:v>
                </c:pt>
                <c:pt idx="16">
                  <c:v>2044.7580149483265</c:v>
                </c:pt>
                <c:pt idx="17">
                  <c:v>2207.38530464811</c:v>
                </c:pt>
                <c:pt idx="18">
                  <c:v>2327.862564037794</c:v>
                </c:pt>
                <c:pt idx="19">
                  <c:v>1890.3609136802506</c:v>
                </c:pt>
                <c:pt idx="20">
                  <c:v>1549.634285786764</c:v>
                </c:pt>
                <c:pt idx="21">
                  <c:v>1284.2761211700372</c:v>
                </c:pt>
                <c:pt idx="22">
                  <c:v>1077.6149747721397</c:v>
                </c:pt>
                <c:pt idx="23">
                  <c:v>916.667112127023</c:v>
                </c:pt>
                <c:pt idx="24">
                  <c:v>791.3207906653371</c:v>
                </c:pt>
              </c:numCache>
            </c:numRef>
          </c:yVal>
          <c:smooth val="0"/>
        </c:ser>
        <c:ser>
          <c:idx val="1"/>
          <c:order val="1"/>
          <c:tx>
            <c:v>External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Worksheet!$C$65:$C$89</c:f>
              <c:numCache>
                <c:ptCount val="2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v>Average during occupancy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IAQ!$A$15:$A$39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IAQ!$N$15:$N$39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1493.591474668736</c:v>
                </c:pt>
                <c:pt idx="9">
                  <c:v>1493.591474668736</c:v>
                </c:pt>
                <c:pt idx="10">
                  <c:v>1493.591474668736</c:v>
                </c:pt>
                <c:pt idx="11">
                  <c:v>1493.591474668736</c:v>
                </c:pt>
                <c:pt idx="12">
                  <c:v>1493.591474668736</c:v>
                </c:pt>
                <c:pt idx="13">
                  <c:v>1493.591474668736</c:v>
                </c:pt>
                <c:pt idx="14">
                  <c:v>1493.591474668736</c:v>
                </c:pt>
                <c:pt idx="15">
                  <c:v>1493.591474668736</c:v>
                </c:pt>
                <c:pt idx="16">
                  <c:v>1493.591474668736</c:v>
                </c:pt>
                <c:pt idx="17">
                  <c:v>1493.591474668736</c:v>
                </c:pt>
                <c:pt idx="18">
                  <c:v>1493.591474668736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2157212"/>
        <c:axId val="66761725"/>
      </c:scatterChart>
      <c:valAx>
        <c:axId val="52157212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61725"/>
        <c:crosses val="autoZero"/>
        <c:crossBetween val="midCat"/>
        <c:dispUnits/>
        <c:majorUnit val="4"/>
      </c:valAx>
      <c:valAx>
        <c:axId val="6676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CO2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157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0</xdr:rowOff>
    </xdr:from>
    <xdr:to>
      <xdr:col>8</xdr:col>
      <xdr:colOff>971550</xdr:colOff>
      <xdr:row>16</xdr:row>
      <xdr:rowOff>219075</xdr:rowOff>
    </xdr:to>
    <xdr:graphicFrame>
      <xdr:nvGraphicFramePr>
        <xdr:cNvPr id="1" name="Chart 3"/>
        <xdr:cNvGraphicFramePr/>
      </xdr:nvGraphicFramePr>
      <xdr:xfrm>
        <a:off x="5229225" y="247650"/>
        <a:ext cx="4324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9525</xdr:rowOff>
    </xdr:from>
    <xdr:to>
      <xdr:col>4</xdr:col>
      <xdr:colOff>504825</xdr:colOff>
      <xdr:row>12</xdr:row>
      <xdr:rowOff>0</xdr:rowOff>
    </xdr:to>
    <xdr:graphicFrame>
      <xdr:nvGraphicFramePr>
        <xdr:cNvPr id="2" name="Chart 5"/>
        <xdr:cNvGraphicFramePr/>
      </xdr:nvGraphicFramePr>
      <xdr:xfrm>
        <a:off x="2867025" y="257175"/>
        <a:ext cx="228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9</xdr:col>
      <xdr:colOff>0</xdr:colOff>
      <xdr:row>16</xdr:row>
      <xdr:rowOff>219075</xdr:rowOff>
    </xdr:to>
    <xdr:graphicFrame>
      <xdr:nvGraphicFramePr>
        <xdr:cNvPr id="1" name="Chart 9"/>
        <xdr:cNvGraphicFramePr/>
      </xdr:nvGraphicFramePr>
      <xdr:xfrm>
        <a:off x="4762500" y="257175"/>
        <a:ext cx="4781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47625</xdr:rowOff>
    </xdr:from>
    <xdr:to>
      <xdr:col>15</xdr:col>
      <xdr:colOff>361950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4752975" y="276225"/>
        <a:ext cx="6981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5" sqref="C5"/>
    </sheetView>
  </sheetViews>
  <sheetFormatPr defaultColWidth="9.140625" defaultRowHeight="12.75"/>
  <cols>
    <col min="1" max="1" width="35.421875" style="0" customWidth="1"/>
  </cols>
  <sheetData>
    <row r="1" ht="18">
      <c r="A1" s="4" t="s">
        <v>101</v>
      </c>
    </row>
    <row r="3" ht="19.5" customHeight="1">
      <c r="A3" s="11" t="s">
        <v>108</v>
      </c>
    </row>
    <row r="4" spans="1:2" ht="19.5" customHeight="1">
      <c r="A4" s="9" t="s">
        <v>102</v>
      </c>
      <c r="B4" s="33">
        <v>0.2</v>
      </c>
    </row>
    <row r="5" spans="1:2" ht="19.5" customHeight="1">
      <c r="A5" s="9" t="s">
        <v>105</v>
      </c>
      <c r="B5" s="34"/>
    </row>
    <row r="6" spans="1:2" ht="19.5" customHeight="1">
      <c r="A6" s="9" t="s">
        <v>103</v>
      </c>
      <c r="B6" s="37">
        <f>IF(Worksheet!B44=1,0.25,0.61)</f>
        <v>0.61</v>
      </c>
    </row>
    <row r="7" spans="1:2" ht="19.5" customHeight="1">
      <c r="A7" s="9" t="s">
        <v>51</v>
      </c>
      <c r="B7" s="35">
        <v>22</v>
      </c>
    </row>
    <row r="8" spans="1:2" ht="19.5" customHeight="1">
      <c r="A8" s="9" t="s">
        <v>104</v>
      </c>
      <c r="B8" s="35">
        <v>26</v>
      </c>
    </row>
    <row r="9" spans="1:2" ht="19.5" customHeight="1">
      <c r="A9" s="9" t="str">
        <f>IF(Worksheet!B44=1,"Height of opening (m)","Vertical distance between openings (m)")</f>
        <v>Vertical distance between openings (m)</v>
      </c>
      <c r="B9" s="33">
        <v>1.2</v>
      </c>
    </row>
    <row r="10" spans="1:2" ht="19.5" customHeight="1">
      <c r="A10" s="9" t="str">
        <f>IF(Worksheet!B44=1,"Size of opening (m2)","Size of each opening (m2)")</f>
        <v>Size of each opening (m2)</v>
      </c>
      <c r="B10" s="38">
        <f>(B4/B6)*SQRT((B8+273)/(ABS(B8-B7)*g*B9))</f>
        <v>0.8261913285394247</v>
      </c>
    </row>
    <row r="11" ht="19.5" customHeight="1"/>
    <row r="12" ht="19.5" customHeight="1">
      <c r="A12" s="11" t="s">
        <v>109</v>
      </c>
    </row>
    <row r="13" spans="1:2" ht="19.5" customHeight="1">
      <c r="A13" s="9" t="s">
        <v>102</v>
      </c>
      <c r="B13" s="33">
        <v>0.1</v>
      </c>
    </row>
    <row r="14" spans="1:2" ht="19.5" customHeight="1">
      <c r="A14" s="9" t="s">
        <v>110</v>
      </c>
      <c r="B14" s="35">
        <v>3</v>
      </c>
    </row>
    <row r="15" spans="1:3" ht="19.5" customHeight="1">
      <c r="A15" s="9" t="s">
        <v>112</v>
      </c>
      <c r="B15" s="34">
        <v>0.05</v>
      </c>
      <c r="C15" s="32">
        <f>IF(B15&gt;=0.01,IF(B15&lt;=0.05,"","Error - outside valid range of 0.01 to 0.05"),"Error - outside valid range of 0.01 to 0.05")</f>
      </c>
    </row>
    <row r="16" spans="1:2" ht="19.5" customHeight="1">
      <c r="A16" s="9" t="s">
        <v>111</v>
      </c>
      <c r="B16" s="38">
        <f>IF(C15="",B13/(B15*B14),"")</f>
        <v>0.6666666666666666</v>
      </c>
    </row>
    <row r="17" ht="19.5" customHeight="1"/>
    <row r="18" ht="19.5" customHeight="1">
      <c r="A18" s="36" t="s">
        <v>113</v>
      </c>
    </row>
    <row r="19" spans="1:2" ht="19.5" customHeight="1">
      <c r="A19" s="9" t="s">
        <v>102</v>
      </c>
      <c r="B19" s="33">
        <v>1</v>
      </c>
    </row>
    <row r="20" spans="1:2" ht="19.5" customHeight="1">
      <c r="A20" s="9" t="s">
        <v>110</v>
      </c>
      <c r="B20" s="35">
        <v>3</v>
      </c>
    </row>
    <row r="21" spans="1:2" ht="19.5" customHeight="1">
      <c r="A21" s="9" t="s">
        <v>103</v>
      </c>
      <c r="B21" s="34">
        <v>0.61</v>
      </c>
    </row>
    <row r="22" ht="19.5" customHeight="1">
      <c r="A22" s="9" t="s">
        <v>116</v>
      </c>
    </row>
    <row r="23" spans="1:2" ht="19.5" customHeight="1">
      <c r="A23" s="14" t="s">
        <v>114</v>
      </c>
      <c r="B23" s="34">
        <v>0.5</v>
      </c>
    </row>
    <row r="24" spans="1:2" ht="19.5" customHeight="1">
      <c r="A24" s="14" t="s">
        <v>115</v>
      </c>
      <c r="B24" s="34">
        <v>-0.2</v>
      </c>
    </row>
    <row r="25" spans="1:2" ht="19.5" customHeight="1">
      <c r="A25" s="9" t="s">
        <v>111</v>
      </c>
      <c r="B25" s="38">
        <f>B19/(B21*B20)*SQRT(2/(B23-B24))</f>
        <v>0.9236658521623131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B12" sqref="B12"/>
    </sheetView>
  </sheetViews>
  <sheetFormatPr defaultColWidth="9.140625" defaultRowHeight="12.75"/>
  <cols>
    <col min="1" max="1" width="27.140625" style="0" customWidth="1"/>
    <col min="2" max="2" width="14.7109375" style="0" customWidth="1"/>
    <col min="3" max="3" width="13.57421875" style="0" customWidth="1"/>
    <col min="4" max="4" width="14.28125" style="0" customWidth="1"/>
    <col min="5" max="5" width="12.7109375" style="0" customWidth="1"/>
    <col min="6" max="6" width="17.00390625" style="0" customWidth="1"/>
    <col min="7" max="7" width="14.57421875" style="0" customWidth="1"/>
    <col min="8" max="9" width="14.7109375" style="0" customWidth="1"/>
    <col min="11" max="11" width="22.28125" style="0" customWidth="1"/>
  </cols>
  <sheetData>
    <row r="1" spans="1:12" ht="19.5" customHeight="1">
      <c r="A1" s="4" t="s">
        <v>222</v>
      </c>
      <c r="K1" s="1"/>
      <c r="L1" s="1"/>
    </row>
    <row r="2" spans="11:12" ht="19.5" customHeight="1">
      <c r="K2" s="1"/>
      <c r="L2" s="1"/>
    </row>
    <row r="3" spans="1:12" ht="19.5" customHeight="1">
      <c r="A3" s="12" t="s">
        <v>0</v>
      </c>
      <c r="B3" s="29"/>
      <c r="K3" s="1"/>
      <c r="L3" s="1"/>
    </row>
    <row r="4" spans="1:12" ht="19.5" customHeight="1">
      <c r="A4" s="13" t="s">
        <v>51</v>
      </c>
      <c r="B4" s="25">
        <v>25</v>
      </c>
      <c r="K4" s="1"/>
      <c r="L4" s="1"/>
    </row>
    <row r="5" spans="1:12" ht="19.5" customHeight="1">
      <c r="A5" s="13" t="s">
        <v>86</v>
      </c>
      <c r="B5" s="30"/>
      <c r="K5" s="1"/>
      <c r="L5" s="1"/>
    </row>
    <row r="6" spans="1:12" ht="19.5" customHeight="1">
      <c r="A6" s="14" t="s">
        <v>87</v>
      </c>
      <c r="B6" s="25">
        <v>10</v>
      </c>
      <c r="K6" s="1"/>
      <c r="L6" s="1"/>
    </row>
    <row r="7" spans="1:12" ht="19.5" customHeight="1">
      <c r="A7" s="28" t="s">
        <v>54</v>
      </c>
      <c r="B7" s="25">
        <v>31</v>
      </c>
      <c r="K7" s="1"/>
      <c r="L7" s="1"/>
    </row>
    <row r="8" spans="1:12" ht="19.5" customHeight="1">
      <c r="A8" s="28" t="s">
        <v>221</v>
      </c>
      <c r="B8" s="25">
        <v>28</v>
      </c>
      <c r="K8" s="1"/>
      <c r="L8" s="1"/>
    </row>
    <row r="9" spans="1:12" ht="19.5" customHeight="1">
      <c r="A9" s="14" t="s">
        <v>1</v>
      </c>
      <c r="B9" s="26">
        <v>7</v>
      </c>
      <c r="K9" s="1"/>
      <c r="L9" s="1"/>
    </row>
    <row r="10" spans="1:12" ht="19.5" customHeight="1">
      <c r="A10" s="15" t="s">
        <v>26</v>
      </c>
      <c r="B10" s="30"/>
      <c r="K10" s="1"/>
      <c r="L10" s="1"/>
    </row>
    <row r="11" spans="1:12" ht="19.5" customHeight="1">
      <c r="A11" s="9" t="s">
        <v>18</v>
      </c>
      <c r="B11" s="21">
        <v>0</v>
      </c>
      <c r="K11" s="1"/>
      <c r="L11" s="1"/>
    </row>
    <row r="12" spans="1:12" ht="19.5" customHeight="1">
      <c r="A12" s="9" t="s">
        <v>17</v>
      </c>
      <c r="B12" s="21">
        <v>10</v>
      </c>
      <c r="K12" s="1"/>
      <c r="L12" s="1"/>
    </row>
    <row r="13" spans="1:12" ht="19.5" customHeight="1">
      <c r="A13" s="9" t="s">
        <v>27</v>
      </c>
      <c r="B13" s="10"/>
      <c r="K13" s="1"/>
      <c r="L13" s="1"/>
    </row>
    <row r="14" spans="1:12" ht="19.5" customHeight="1">
      <c r="A14" s="9" t="s">
        <v>28</v>
      </c>
      <c r="B14" s="24">
        <f>Vmet*K*Z_b^alpha</f>
        <v>0</v>
      </c>
      <c r="K14" s="1"/>
      <c r="L14" s="1"/>
    </row>
    <row r="15" spans="1:12" ht="19.5" customHeight="1">
      <c r="A15" s="52"/>
      <c r="B15" s="74">
        <f>IF(B9=0,IF(B7&lt;&gt;B8,"**Error - the 2 stack temps should be the same **",""),IF(B7&lt;B8,"** Error - The temp at ht X should be &gt; than ground level """,""))</f>
      </c>
      <c r="K15" s="1"/>
      <c r="L15" s="1"/>
    </row>
    <row r="16" spans="1:12" ht="19.5" customHeight="1">
      <c r="A16" s="5"/>
      <c r="B16" s="3"/>
      <c r="C16" s="16">
        <f>IF(MIN(H19:H22)&lt;0,"Impossible scenario","")</f>
      </c>
      <c r="D16" s="17"/>
      <c r="K16" s="1"/>
      <c r="L16" s="1"/>
    </row>
    <row r="17" spans="1:12" ht="19.5" customHeight="1">
      <c r="A17" s="8" t="s">
        <v>29</v>
      </c>
      <c r="K17" s="1"/>
      <c r="L17" s="1"/>
    </row>
    <row r="18" spans="1:12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  <c r="L18" s="1"/>
    </row>
    <row r="19" spans="1:9" ht="19.5" customHeight="1">
      <c r="A19" s="10">
        <v>1</v>
      </c>
      <c r="B19" s="20">
        <v>1.85</v>
      </c>
      <c r="C19" s="21">
        <v>0.25</v>
      </c>
      <c r="D19" s="22">
        <v>0.448</v>
      </c>
      <c r="E19" s="21">
        <v>0.61</v>
      </c>
      <c r="F19" s="23">
        <f>-Psi+Ref_density_diff*g*((Z_stack-Z_1)+((Z_stack/(StratIndex+1))*((Tstack-Tout)/(Tbs-Tout)-1))*(1-(Tstack-Tout)/(Tstack+273))*(1-(Z_1^(StratIndex+1)/Z_stack^(StratIndex+1))))+0.5*rho_e*Site_wind_speed^2*Cp_1</f>
        <v>1.0696879590143449</v>
      </c>
      <c r="G19" s="23">
        <f>D19*SIGN(F19)*SQRT(rho_e/(2*ABS(F19)))</f>
        <v>0.3315610055285844</v>
      </c>
      <c r="H19" s="23">
        <f>G19/E19</f>
        <v>0.5435426320140728</v>
      </c>
      <c r="I19" s="24">
        <f>ABS($D$22/$G$22)/ABS(D19/G19)</f>
        <v>0.6596020904252353</v>
      </c>
    </row>
    <row r="20" spans="1:9" ht="19.5" customHeight="1">
      <c r="A20" s="10">
        <v>2</v>
      </c>
      <c r="B20" s="20">
        <v>5.1</v>
      </c>
      <c r="C20" s="21">
        <v>0.25</v>
      </c>
      <c r="D20" s="22">
        <v>0.448</v>
      </c>
      <c r="E20" s="21">
        <v>0.61</v>
      </c>
      <c r="F20" s="23">
        <f>-Psi+Ref_density_diff*g*((Z_stack-Z_2)+((Z_stack/(StratIndex+1))*((Tstack-Tout)/(Tbs-Tout)-1))*(1-(Tstack-Tout)/(Tstack+273))*(1-(Z_2^(StratIndex+1)/Z_stack^(StratIndex+1))))+0.5*rho_e*Site_wind_speed^2*Cp_2</f>
        <v>0.6966838374007588</v>
      </c>
      <c r="G20" s="23">
        <f>D20*SIGN(F20)*SQRT(rho_e/(2*ABS(F20)))</f>
        <v>0.4108413371103818</v>
      </c>
      <c r="H20" s="23">
        <f>G20/E20</f>
        <v>0.6735103887055439</v>
      </c>
      <c r="I20" s="24">
        <f>ABS($D$22/$G$22)/ABS(D20/G20)</f>
        <v>0.8173210970906649</v>
      </c>
    </row>
    <row r="21" spans="1:9" ht="19.5" customHeight="1">
      <c r="A21" s="10">
        <v>3</v>
      </c>
      <c r="B21" s="20">
        <v>8.35</v>
      </c>
      <c r="C21" s="21">
        <v>0.25</v>
      </c>
      <c r="D21" s="22">
        <v>0.448</v>
      </c>
      <c r="E21" s="21">
        <v>0.61</v>
      </c>
      <c r="F21" s="23">
        <f>-Psi+Ref_density_diff*g*((Z_stack-Z_3)+((Z_stack/(StratIndex+1))*((Tstack-Tout)/(Tbs-Tout)-1))*(1-(Tstack-Tout)/(Tstack+273))*(1-(Z_3^(StratIndex+1)/Z_stack^(StratIndex+1))))+0.5*rho_e*Site_wind_speed^2*Cp_3</f>
        <v>0.2917884213431287</v>
      </c>
      <c r="G21" s="23">
        <f>D21*SIGN(F21)*SQRT(rho_e/(2*ABS(F21)))</f>
        <v>0.634830778458818</v>
      </c>
      <c r="H21" s="23">
        <f>G21/E21</f>
        <v>1.0407061941947835</v>
      </c>
      <c r="I21" s="24">
        <f>ABS($D$22/$G$22)/ABS(D21/G21)</f>
        <v>1.262922061266387</v>
      </c>
    </row>
    <row r="22" spans="1:9" ht="19.5" customHeight="1">
      <c r="A22" s="10" t="s">
        <v>224</v>
      </c>
      <c r="B22" s="20">
        <v>11.5</v>
      </c>
      <c r="C22" s="21">
        <v>-0.1</v>
      </c>
      <c r="D22" s="22">
        <f>-SUM(D19:D21)</f>
        <v>-1.344</v>
      </c>
      <c r="E22" s="21">
        <v>0.61</v>
      </c>
      <c r="F22" s="23">
        <f>-Psi+Ref_density_diff*g*((Z_stack-Z_4)+((Z_stack/(StratIndex+1))*((Tstack-Tout)/(Tbs-Tout)-1))*(1-(Tstack-Tout)/(Tstack+273))*(1-(Z_4^(StratIndex+1)/Z_stack^(StratIndex+1))))+0.5*rho_e*Site_wind_speed^2*Cp_4</f>
        <v>-0.4653944007257233</v>
      </c>
      <c r="G22" s="23">
        <f>D22*SIGN(F22)*SQRT(rho_e/(2*ABS(F22)))</f>
        <v>1.5080046455651717</v>
      </c>
      <c r="H22" s="23">
        <f>G22/E22</f>
        <v>2.4721387632215928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 sheet="1" objects="1" scenarios="1"/>
  <mergeCells count="2">
    <mergeCell ref="G25:H25"/>
    <mergeCell ref="I26:I27"/>
  </mergeCells>
  <printOptions/>
  <pageMargins left="0.7480314960629921" right="0.7480314960629921" top="0.5905511811023623" bottom="0.5905511811023623" header="0.5118110236220472" footer="0.5118110236220472"/>
  <pageSetup fitToHeight="1" fitToWidth="1" orientation="landscape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4.7109375" style="0" customWidth="1"/>
    <col min="3" max="3" width="13.00390625" style="0" customWidth="1"/>
    <col min="4" max="5" width="14.00390625" style="0" customWidth="1"/>
    <col min="6" max="6" width="14.7109375" style="0" customWidth="1"/>
    <col min="7" max="7" width="14.28125" style="0" customWidth="1"/>
    <col min="8" max="8" width="14.00390625" style="0" customWidth="1"/>
    <col min="9" max="9" width="14.7109375" style="0" customWidth="1"/>
  </cols>
  <sheetData>
    <row r="1" ht="19.5" customHeight="1">
      <c r="A1" s="4" t="s">
        <v>117</v>
      </c>
    </row>
    <row r="2" ht="19.5" customHeight="1"/>
    <row r="3" spans="1:2" ht="19.5" customHeight="1">
      <c r="A3" s="12" t="s">
        <v>0</v>
      </c>
      <c r="B3" s="29"/>
    </row>
    <row r="4" spans="1:4" ht="19.5" customHeight="1">
      <c r="A4" s="39" t="s">
        <v>51</v>
      </c>
      <c r="B4" s="25">
        <v>25</v>
      </c>
      <c r="C4" s="47"/>
      <c r="D4" s="2"/>
    </row>
    <row r="5" spans="1:4" ht="19.5" customHeight="1">
      <c r="A5" s="40" t="s">
        <v>118</v>
      </c>
      <c r="B5" s="42">
        <v>28</v>
      </c>
      <c r="C5" s="46"/>
      <c r="D5" s="2"/>
    </row>
    <row r="6" spans="1:4" ht="19.5" customHeight="1">
      <c r="A6" s="7" t="s">
        <v>120</v>
      </c>
      <c r="B6" s="41"/>
      <c r="C6" s="46"/>
      <c r="D6" s="2"/>
    </row>
    <row r="7" spans="1:4" ht="19.5" customHeight="1">
      <c r="A7" s="39" t="s">
        <v>119</v>
      </c>
      <c r="B7" s="25">
        <v>31</v>
      </c>
      <c r="C7" s="46"/>
      <c r="D7" s="2"/>
    </row>
    <row r="8" spans="1:2" ht="19.5" customHeight="1">
      <c r="A8" s="9" t="s">
        <v>121</v>
      </c>
      <c r="B8" s="21">
        <v>8</v>
      </c>
    </row>
    <row r="9" spans="1:2" ht="19.5" customHeight="1">
      <c r="A9" s="9" t="s">
        <v>122</v>
      </c>
      <c r="B9" s="21">
        <v>1.5</v>
      </c>
    </row>
    <row r="10" spans="1:2" ht="19.5" customHeight="1">
      <c r="A10" s="9" t="s">
        <v>103</v>
      </c>
      <c r="B10" s="21">
        <v>0.8</v>
      </c>
    </row>
    <row r="11" spans="1:2" ht="19.5" customHeight="1">
      <c r="A11" s="15" t="s">
        <v>26</v>
      </c>
      <c r="B11" s="30"/>
    </row>
    <row r="12" spans="1:2" ht="19.5" customHeight="1">
      <c r="A12" s="9" t="s">
        <v>18</v>
      </c>
      <c r="B12" s="21">
        <v>0</v>
      </c>
    </row>
    <row r="13" spans="1:2" ht="19.5" customHeight="1">
      <c r="A13" s="9" t="s">
        <v>17</v>
      </c>
      <c r="B13" s="21">
        <v>10</v>
      </c>
    </row>
    <row r="14" spans="1:2" ht="19.5" customHeight="1">
      <c r="A14" s="9" t="s">
        <v>27</v>
      </c>
      <c r="B14" s="10"/>
    </row>
    <row r="15" spans="1:2" ht="19.5" customHeight="1">
      <c r="A15" s="9" t="s">
        <v>28</v>
      </c>
      <c r="B15" s="24">
        <f>VcMet*Kc*Hcb^alpha_c</f>
        <v>0</v>
      </c>
    </row>
    <row r="16" spans="1:4" ht="19.5" customHeight="1">
      <c r="A16" s="5"/>
      <c r="B16" s="3"/>
      <c r="C16" s="16">
        <f>IF(MIN(H19:H22)&lt;0,"Impossible scenario","")</f>
      </c>
      <c r="D16" s="17"/>
    </row>
    <row r="17" ht="19.5" customHeight="1">
      <c r="A17" s="8" t="s">
        <v>29</v>
      </c>
    </row>
    <row r="18" spans="1:9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</row>
    <row r="19" spans="1:9" ht="19.5" customHeight="1">
      <c r="A19" s="10">
        <v>1</v>
      </c>
      <c r="B19" s="20">
        <v>1.85</v>
      </c>
      <c r="C19" s="21">
        <v>0.2</v>
      </c>
      <c r="D19" s="22">
        <v>0.448</v>
      </c>
      <c r="E19" s="21">
        <v>0.61</v>
      </c>
      <c r="F19" s="23">
        <f>-Z_1c*g*rho_c_e-(Pci-Z_1c*g*rho_c_r)+0.5*rho_c_e*VcSite^2*Cp_1c</f>
        <v>1.3946918556233712</v>
      </c>
      <c r="G19" s="23">
        <f>D19*SIGN(F19)*SQRT(rho_c_e/(2*ABS(F19)))</f>
        <v>0.290370751946758</v>
      </c>
      <c r="H19" s="23">
        <f>G19/E19</f>
        <v>0.4760176261422262</v>
      </c>
      <c r="I19" s="24">
        <f>ABS($D$22/$G$22)/ABS(D19/G19)</f>
        <v>0.6610316918415675</v>
      </c>
    </row>
    <row r="20" spans="1:9" ht="19.5" customHeight="1">
      <c r="A20" s="10">
        <v>2</v>
      </c>
      <c r="B20" s="20">
        <v>5.1</v>
      </c>
      <c r="C20" s="21">
        <v>0.2</v>
      </c>
      <c r="D20" s="22">
        <v>0.448</v>
      </c>
      <c r="E20" s="21">
        <v>0.61</v>
      </c>
      <c r="F20" s="23">
        <f>-Z_2c*g*rho_c_e-(Pci-Z_2c*g*rho_c_r)+0.5*rho_c_e*VcSite^2*Cp_2c</f>
        <v>1.0223300749816602</v>
      </c>
      <c r="G20" s="23">
        <f>D20*SIGN(F20)*SQRT(rho_c_e/(2*ABS(F20)))</f>
        <v>0.33915360139505707</v>
      </c>
      <c r="H20" s="23">
        <f>G20/E20</f>
        <v>0.5559895104837002</v>
      </c>
      <c r="I20" s="24">
        <f>ABS($D$22/$G$22)/ABS(D20/G20)</f>
        <v>0.7720862980216499</v>
      </c>
    </row>
    <row r="21" spans="1:9" ht="19.5" customHeight="1">
      <c r="A21" s="10">
        <v>3</v>
      </c>
      <c r="B21" s="20">
        <v>8.35</v>
      </c>
      <c r="C21" s="21">
        <v>0.2</v>
      </c>
      <c r="D21" s="22">
        <v>0.448</v>
      </c>
      <c r="E21" s="21">
        <v>0.61</v>
      </c>
      <c r="F21" s="23">
        <f>-Z_3c*g*rho_c_e-(Pci-Z_3c*g*rho_c_r)+0.5*rho_c_e*VcSite^2*Cp_3c</f>
        <v>0.6499682943399421</v>
      </c>
      <c r="G21" s="23">
        <f>D21*SIGN(F21)*SQRT(rho_c_e/(2*ABS(F21)))</f>
        <v>0.4253494891777062</v>
      </c>
      <c r="H21" s="23">
        <f>G21/E21</f>
        <v>0.6972942445536168</v>
      </c>
      <c r="I21" s="24">
        <f>ABS($D$22/$G$22)/ABS(D21/G21)</f>
        <v>0.9683120306367513</v>
      </c>
    </row>
    <row r="22" spans="1:9" ht="19.5" customHeight="1">
      <c r="A22" s="10" t="s">
        <v>223</v>
      </c>
      <c r="B22" s="55"/>
      <c r="C22" s="21">
        <v>-0.15</v>
      </c>
      <c r="D22" s="22">
        <f>-SUM(D19:D21)</f>
        <v>-1.344</v>
      </c>
      <c r="E22" s="45">
        <f>B10</f>
        <v>0.8</v>
      </c>
      <c r="F22" s="23">
        <f>(-rho_c_e*g*(Hcb+hcc))-(Pci-rho_c_r*g*(Hcb+hcc-l_c)-rho_c_c*g*l_c)+0.5*rho_c_e*VcSite^2*Cp_4c</f>
        <v>-0.6094285945187039</v>
      </c>
      <c r="G22" s="23">
        <f>D22*SIGN(F22)*SQRT(rho_c_e/(2*ABS(F22)))</f>
        <v>1.317807098496962</v>
      </c>
      <c r="H22" s="23">
        <f>G22/E22</f>
        <v>1.6472588731212026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 sheet="1" objects="1" scenarios="1"/>
  <mergeCells count="2">
    <mergeCell ref="G25:H25"/>
    <mergeCell ref="I26:I27"/>
  </mergeCells>
  <printOptions/>
  <pageMargins left="0.75" right="0.75" top="0.62" bottom="0.57" header="0.5" footer="0.5"/>
  <pageSetup fitToHeight="1" fitToWidth="1" orientation="landscape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1.8515625" style="0" customWidth="1"/>
    <col min="2" max="2" width="17.140625" style="0" customWidth="1"/>
    <col min="3" max="3" width="14.140625" style="0" customWidth="1"/>
    <col min="4" max="5" width="13.140625" style="0" customWidth="1"/>
    <col min="6" max="7" width="11.421875" style="0" customWidth="1"/>
    <col min="8" max="8" width="11.140625" style="0" customWidth="1"/>
    <col min="9" max="10" width="10.7109375" style="0" customWidth="1"/>
  </cols>
  <sheetData>
    <row r="1" spans="1:2" ht="18">
      <c r="A1" s="4" t="s">
        <v>225</v>
      </c>
      <c r="B1" s="4"/>
    </row>
    <row r="2" ht="3.75" customHeight="1"/>
    <row r="3" spans="1:3" ht="15" customHeight="1">
      <c r="A3" s="79" t="s">
        <v>226</v>
      </c>
      <c r="B3" s="79"/>
      <c r="C3" s="35">
        <v>3000</v>
      </c>
    </row>
    <row r="4" spans="1:3" ht="15" customHeight="1">
      <c r="A4" s="79" t="s">
        <v>261</v>
      </c>
      <c r="B4" s="79"/>
      <c r="C4" s="35">
        <v>20</v>
      </c>
    </row>
    <row r="5" spans="1:5" ht="15" customHeight="1">
      <c r="A5" s="80" t="s">
        <v>272</v>
      </c>
      <c r="B5" s="81"/>
      <c r="C5" s="35">
        <v>791.3</v>
      </c>
      <c r="D5" s="82">
        <f>IF(ABS(C5-C39)&gt;1,"*** Not a repeating day!!","")</f>
      </c>
      <c r="E5" s="78"/>
    </row>
    <row r="6" ht="6" customHeight="1"/>
    <row r="7" spans="1:5" s="11" customFormat="1" ht="25.5">
      <c r="A7" s="59" t="s">
        <v>238</v>
      </c>
      <c r="B7" s="59" t="s">
        <v>270</v>
      </c>
      <c r="C7" s="59" t="s">
        <v>235</v>
      </c>
      <c r="D7" s="59" t="s">
        <v>236</v>
      </c>
      <c r="E7" s="59" t="s">
        <v>273</v>
      </c>
    </row>
    <row r="8" spans="1:6" ht="15" customHeight="1">
      <c r="A8" s="60">
        <v>1</v>
      </c>
      <c r="B8" s="35">
        <v>350</v>
      </c>
      <c r="C8" s="35">
        <v>0</v>
      </c>
      <c r="D8" s="33">
        <v>0.1</v>
      </c>
      <c r="E8" s="65">
        <f>C8*(10/1000)*(3600/$C$3)</f>
        <v>0</v>
      </c>
      <c r="F8" s="56"/>
    </row>
    <row r="9" spans="1:6" ht="15" customHeight="1">
      <c r="A9" s="60">
        <v>2</v>
      </c>
      <c r="B9" s="35">
        <v>450</v>
      </c>
      <c r="C9" s="35">
        <v>100</v>
      </c>
      <c r="D9" s="33">
        <v>1.2</v>
      </c>
      <c r="E9" s="65">
        <f>C9*(10/1000)*(3600/$C$3)</f>
        <v>1.2</v>
      </c>
      <c r="F9" s="56"/>
    </row>
    <row r="10" spans="1:6" ht="15" customHeight="1">
      <c r="A10" s="60">
        <v>3</v>
      </c>
      <c r="B10" s="35">
        <v>450</v>
      </c>
      <c r="C10" s="35">
        <v>100</v>
      </c>
      <c r="D10" s="33">
        <v>0.3</v>
      </c>
      <c r="E10" s="65">
        <f>C10*(10/1000)*(3600/$C$3)</f>
        <v>1.2</v>
      </c>
      <c r="F10" s="56"/>
    </row>
    <row r="11" spans="1:6" ht="15" customHeight="1">
      <c r="A11" s="60">
        <v>4</v>
      </c>
      <c r="B11" s="35">
        <v>450</v>
      </c>
      <c r="C11" s="35">
        <v>100</v>
      </c>
      <c r="D11" s="33">
        <v>4.8</v>
      </c>
      <c r="E11" s="65">
        <f>C11*(10/1000)*(3600/$C$3)</f>
        <v>1.2</v>
      </c>
      <c r="F11" s="56"/>
    </row>
    <row r="12" spans="1:6" ht="15" customHeight="1">
      <c r="A12" s="60">
        <v>5</v>
      </c>
      <c r="B12" s="35">
        <v>350</v>
      </c>
      <c r="C12" s="35">
        <v>0</v>
      </c>
      <c r="D12" s="33">
        <v>0.25</v>
      </c>
      <c r="E12" s="65">
        <f>C12*(10/1000)*(3600/$C$3)</f>
        <v>0</v>
      </c>
      <c r="F12" s="56"/>
    </row>
    <row r="13" ht="6" customHeight="1"/>
    <row r="14" spans="1:15" s="58" customFormat="1" ht="27" customHeight="1">
      <c r="A14" s="59" t="s">
        <v>269</v>
      </c>
      <c r="B14" s="62" t="s">
        <v>268</v>
      </c>
      <c r="C14" s="62" t="s">
        <v>271</v>
      </c>
      <c r="N14" s="71" t="s">
        <v>275</v>
      </c>
      <c r="O14" s="66" t="s">
        <v>274</v>
      </c>
    </row>
    <row r="15" spans="1:15" s="57" customFormat="1" ht="15" customHeight="1">
      <c r="A15" s="61">
        <v>0</v>
      </c>
      <c r="B15" s="64">
        <v>5</v>
      </c>
      <c r="C15" s="63">
        <f>Worksheet!I65</f>
        <v>693.6847855694109</v>
      </c>
      <c r="N15" s="72">
        <f aca="true" t="shared" si="0" ref="N15:N39">IF(O15=0,"",SUMPRODUCT($C$15:$C$39,$O$15:$O$39)/$F$40)</f>
      </c>
      <c r="O15" s="67">
        <f aca="true" t="shared" si="1" ref="O15:O39">IF(VLOOKUP(B15,$A$8:$C$12,3)&gt;0,1,0)</f>
        <v>0</v>
      </c>
    </row>
    <row r="16" spans="1:15" ht="15" customHeight="1">
      <c r="A16" s="61">
        <v>1</v>
      </c>
      <c r="B16" s="64">
        <v>5</v>
      </c>
      <c r="C16" s="63">
        <f>Worksheet!I66</f>
        <v>617.6619801311851</v>
      </c>
      <c r="N16" s="72">
        <f t="shared" si="0"/>
      </c>
      <c r="O16" s="67">
        <f t="shared" si="1"/>
        <v>0</v>
      </c>
    </row>
    <row r="17" spans="1:15" ht="15" customHeight="1">
      <c r="A17" s="61">
        <v>2</v>
      </c>
      <c r="B17" s="64">
        <v>5</v>
      </c>
      <c r="C17" s="63">
        <f>Worksheet!I67</f>
        <v>558.4553597246098</v>
      </c>
      <c r="M17" s="56"/>
      <c r="N17" s="72">
        <f t="shared" si="0"/>
      </c>
      <c r="O17" s="67">
        <f t="shared" si="1"/>
        <v>0</v>
      </c>
    </row>
    <row r="18" spans="1:15" ht="15" customHeight="1">
      <c r="A18" s="61">
        <v>3</v>
      </c>
      <c r="B18" s="64">
        <v>5</v>
      </c>
      <c r="C18" s="63">
        <f>Worksheet!I68</f>
        <v>512.3451973889576</v>
      </c>
      <c r="M18" s="56"/>
      <c r="N18" s="72">
        <f t="shared" si="0"/>
      </c>
      <c r="O18" s="67">
        <f t="shared" si="1"/>
        <v>0</v>
      </c>
    </row>
    <row r="19" spans="1:15" ht="15" customHeight="1">
      <c r="A19" s="61">
        <v>4</v>
      </c>
      <c r="B19" s="64">
        <v>5</v>
      </c>
      <c r="C19" s="63">
        <f>Worksheet!I69</f>
        <v>476.43456685440196</v>
      </c>
      <c r="J19" s="56"/>
      <c r="M19" s="56"/>
      <c r="N19" s="72">
        <f t="shared" si="0"/>
      </c>
      <c r="O19" s="67">
        <f t="shared" si="1"/>
        <v>0</v>
      </c>
    </row>
    <row r="20" spans="1:15" ht="15" customHeight="1">
      <c r="A20" s="61">
        <v>5</v>
      </c>
      <c r="B20" s="64">
        <v>5</v>
      </c>
      <c r="C20" s="63">
        <f>Worksheet!I70</f>
        <v>448.4673396735021</v>
      </c>
      <c r="J20" s="56"/>
      <c r="N20" s="72">
        <f t="shared" si="0"/>
      </c>
      <c r="O20" s="67">
        <f t="shared" si="1"/>
        <v>0</v>
      </c>
    </row>
    <row r="21" spans="1:15" ht="15" customHeight="1">
      <c r="A21" s="61">
        <v>6</v>
      </c>
      <c r="B21" s="64">
        <v>5</v>
      </c>
      <c r="C21" s="63">
        <f>Worksheet!I71</f>
        <v>426.6864412446815</v>
      </c>
      <c r="N21" s="72">
        <f t="shared" si="0"/>
      </c>
      <c r="O21" s="67">
        <f t="shared" si="1"/>
        <v>0</v>
      </c>
    </row>
    <row r="22" spans="1:15" ht="15" customHeight="1">
      <c r="A22" s="61">
        <v>7</v>
      </c>
      <c r="B22" s="64">
        <v>5</v>
      </c>
      <c r="C22" s="63">
        <f>Worksheet!I72</f>
        <v>409.7234604923172</v>
      </c>
      <c r="N22" s="72">
        <f t="shared" si="0"/>
      </c>
      <c r="O22" s="67">
        <f t="shared" si="1"/>
        <v>0</v>
      </c>
    </row>
    <row r="23" spans="1:15" ht="15" customHeight="1">
      <c r="A23" s="61">
        <v>8</v>
      </c>
      <c r="B23" s="64">
        <v>3</v>
      </c>
      <c r="C23" s="63">
        <f>Worksheet!I73</f>
        <v>996.1219152628842</v>
      </c>
      <c r="N23" s="72">
        <f t="shared" si="0"/>
        <v>1493.591474668736</v>
      </c>
      <c r="O23" s="67">
        <f t="shared" si="1"/>
        <v>1</v>
      </c>
    </row>
    <row r="24" spans="1:15" ht="15" customHeight="1">
      <c r="A24" s="61">
        <v>9</v>
      </c>
      <c r="B24" s="64">
        <v>3</v>
      </c>
      <c r="C24" s="63">
        <f>Worksheet!I74</f>
        <v>1430.5365751365243</v>
      </c>
      <c r="N24" s="72">
        <f t="shared" si="0"/>
        <v>1493.591474668736</v>
      </c>
      <c r="O24" s="67">
        <f t="shared" si="1"/>
        <v>1</v>
      </c>
    </row>
    <row r="25" spans="1:15" ht="15" customHeight="1">
      <c r="A25" s="61">
        <v>10</v>
      </c>
      <c r="B25" s="64">
        <v>3</v>
      </c>
      <c r="C25" s="63">
        <f>Worksheet!I75</f>
        <v>1752.358870502168</v>
      </c>
      <c r="N25" s="72">
        <f t="shared" si="0"/>
        <v>1493.591474668736</v>
      </c>
      <c r="O25" s="67">
        <f t="shared" si="1"/>
        <v>1</v>
      </c>
    </row>
    <row r="26" spans="1:15" ht="15" customHeight="1">
      <c r="A26" s="61">
        <v>11</v>
      </c>
      <c r="B26" s="64">
        <v>4</v>
      </c>
      <c r="C26" s="63">
        <f>Worksheet!I76</f>
        <v>598.4639525366941</v>
      </c>
      <c r="N26" s="72">
        <f t="shared" si="0"/>
        <v>1493.591474668736</v>
      </c>
      <c r="O26" s="67">
        <f t="shared" si="1"/>
        <v>1</v>
      </c>
    </row>
    <row r="27" spans="1:15" ht="15" customHeight="1">
      <c r="A27" s="61">
        <v>12</v>
      </c>
      <c r="B27" s="64">
        <v>4</v>
      </c>
      <c r="C27" s="63">
        <f>Worksheet!I77</f>
        <v>588.9676892406886</v>
      </c>
      <c r="N27" s="72">
        <f t="shared" si="0"/>
        <v>1493.591474668736</v>
      </c>
      <c r="O27" s="67">
        <f t="shared" si="1"/>
        <v>1</v>
      </c>
    </row>
    <row r="28" spans="1:15" ht="15" customHeight="1">
      <c r="A28" s="61">
        <v>13</v>
      </c>
      <c r="B28" s="64">
        <v>3</v>
      </c>
      <c r="C28" s="63">
        <f>Worksheet!I78</f>
        <v>1128.9093058717194</v>
      </c>
      <c r="N28" s="72">
        <f t="shared" si="0"/>
        <v>1493.591474668736</v>
      </c>
      <c r="O28" s="67">
        <f t="shared" si="1"/>
        <v>1</v>
      </c>
    </row>
    <row r="29" spans="1:15" ht="15" customHeight="1">
      <c r="A29" s="61">
        <v>14</v>
      </c>
      <c r="B29" s="64">
        <v>3</v>
      </c>
      <c r="C29" s="63">
        <f>Worksheet!I79</f>
        <v>1528.9078935763298</v>
      </c>
      <c r="N29" s="72">
        <f t="shared" si="0"/>
        <v>1493.591474668736</v>
      </c>
      <c r="O29" s="67">
        <f t="shared" si="1"/>
        <v>1</v>
      </c>
    </row>
    <row r="30" spans="1:15" ht="15" customHeight="1">
      <c r="A30" s="61">
        <v>15</v>
      </c>
      <c r="B30" s="64">
        <v>3</v>
      </c>
      <c r="C30" s="63">
        <f>Worksheet!I80</f>
        <v>1825.2341355948593</v>
      </c>
      <c r="N30" s="72">
        <f t="shared" si="0"/>
        <v>1493.591474668736</v>
      </c>
      <c r="O30" s="67">
        <f t="shared" si="1"/>
        <v>1</v>
      </c>
    </row>
    <row r="31" spans="1:15" ht="15" customHeight="1">
      <c r="A31" s="61">
        <v>16</v>
      </c>
      <c r="B31" s="64">
        <v>3</v>
      </c>
      <c r="C31" s="63">
        <f>Worksheet!I81</f>
        <v>2044.7580149483265</v>
      </c>
      <c r="F31" s="11" t="s">
        <v>278</v>
      </c>
      <c r="I31" s="70">
        <f>MAX(N15:N39)</f>
        <v>1493.591474668736</v>
      </c>
      <c r="N31" s="72">
        <f t="shared" si="0"/>
        <v>1493.591474668736</v>
      </c>
      <c r="O31" s="67">
        <f t="shared" si="1"/>
        <v>1</v>
      </c>
    </row>
    <row r="32" spans="1:15" ht="15" customHeight="1">
      <c r="A32" s="61">
        <v>17</v>
      </c>
      <c r="B32" s="64">
        <v>3</v>
      </c>
      <c r="C32" s="63">
        <f>Worksheet!I82</f>
        <v>2207.38530464811</v>
      </c>
      <c r="F32" s="77" t="s">
        <v>277</v>
      </c>
      <c r="G32" s="78"/>
      <c r="H32" s="78"/>
      <c r="I32" s="68">
        <f>MAX(C15:C39)</f>
        <v>2327.862564037794</v>
      </c>
      <c r="N32" s="72">
        <f t="shared" si="0"/>
        <v>1493.591474668736</v>
      </c>
      <c r="O32" s="67">
        <f t="shared" si="1"/>
        <v>1</v>
      </c>
    </row>
    <row r="33" spans="1:15" ht="15" customHeight="1">
      <c r="A33" s="61">
        <v>18</v>
      </c>
      <c r="B33" s="64">
        <v>3</v>
      </c>
      <c r="C33" s="63">
        <f>Worksheet!I83</f>
        <v>2327.862564037794</v>
      </c>
      <c r="F33" s="11" t="s">
        <v>276</v>
      </c>
      <c r="G33" s="11"/>
      <c r="H33" s="11"/>
      <c r="I33" s="69">
        <f>(I32-I31)/I31</f>
        <v>0.55856712060712</v>
      </c>
      <c r="N33" s="72">
        <f t="shared" si="0"/>
        <v>1493.591474668736</v>
      </c>
      <c r="O33" s="67">
        <f t="shared" si="1"/>
        <v>1</v>
      </c>
    </row>
    <row r="34" spans="1:15" ht="15" customHeight="1">
      <c r="A34" s="61">
        <v>19</v>
      </c>
      <c r="B34" s="64">
        <v>5</v>
      </c>
      <c r="C34" s="63">
        <f>Worksheet!I84</f>
        <v>1890.3609136802506</v>
      </c>
      <c r="N34" s="72">
        <f t="shared" si="0"/>
      </c>
      <c r="O34" s="67">
        <f t="shared" si="1"/>
        <v>0</v>
      </c>
    </row>
    <row r="35" spans="1:15" ht="15" customHeight="1">
      <c r="A35" s="61">
        <v>20</v>
      </c>
      <c r="B35" s="64">
        <v>5</v>
      </c>
      <c r="C35" s="63">
        <f>Worksheet!I85</f>
        <v>1549.634285786764</v>
      </c>
      <c r="N35" s="72">
        <f t="shared" si="0"/>
      </c>
      <c r="O35" s="67">
        <f t="shared" si="1"/>
        <v>0</v>
      </c>
    </row>
    <row r="36" spans="1:15" ht="15" customHeight="1">
      <c r="A36" s="61">
        <v>21</v>
      </c>
      <c r="B36" s="64">
        <v>5</v>
      </c>
      <c r="C36" s="63">
        <f>Worksheet!I86</f>
        <v>1284.2761211700372</v>
      </c>
      <c r="N36" s="72">
        <f t="shared" si="0"/>
      </c>
      <c r="O36" s="67">
        <f t="shared" si="1"/>
        <v>0</v>
      </c>
    </row>
    <row r="37" spans="1:15" ht="15" customHeight="1">
      <c r="A37" s="61">
        <v>22</v>
      </c>
      <c r="B37" s="64">
        <v>5</v>
      </c>
      <c r="C37" s="63">
        <f>Worksheet!I87</f>
        <v>1077.6149747721397</v>
      </c>
      <c r="N37" s="72">
        <f t="shared" si="0"/>
      </c>
      <c r="O37" s="67">
        <f t="shared" si="1"/>
        <v>0</v>
      </c>
    </row>
    <row r="38" spans="1:15" ht="15" customHeight="1">
      <c r="A38" s="61">
        <v>23</v>
      </c>
      <c r="B38" s="64">
        <v>5</v>
      </c>
      <c r="C38" s="63">
        <f>Worksheet!I88</f>
        <v>916.667112127023</v>
      </c>
      <c r="N38" s="72">
        <f t="shared" si="0"/>
      </c>
      <c r="O38" s="67">
        <f t="shared" si="1"/>
        <v>0</v>
      </c>
    </row>
    <row r="39" spans="1:15" ht="15" customHeight="1">
      <c r="A39" s="61">
        <v>24</v>
      </c>
      <c r="B39" s="64">
        <v>5</v>
      </c>
      <c r="C39" s="63">
        <f>Worksheet!I89</f>
        <v>791.3207906653371</v>
      </c>
      <c r="N39" s="72">
        <f t="shared" si="0"/>
      </c>
      <c r="O39" s="67">
        <f t="shared" si="1"/>
        <v>0</v>
      </c>
    </row>
    <row r="40" spans="6:14" ht="12.75">
      <c r="F40" s="67">
        <f>SUM(O15:O39)</f>
        <v>11</v>
      </c>
      <c r="N40" s="73"/>
    </row>
  </sheetData>
  <sheetProtection sheet="1" objects="1" scenarios="1"/>
  <mergeCells count="5">
    <mergeCell ref="F32:H32"/>
    <mergeCell ref="A3:B3"/>
    <mergeCell ref="A4:B4"/>
    <mergeCell ref="A5:B5"/>
    <mergeCell ref="D5:E5"/>
  </mergeCells>
  <printOptions/>
  <pageMargins left="0.75" right="0.75" top="1" bottom="1" header="0.5" footer="0.5"/>
  <pageSetup fitToHeight="1" fitToWidth="1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 topLeftCell="A1">
      <selection activeCell="A63" sqref="A63"/>
    </sheetView>
  </sheetViews>
  <sheetFormatPr defaultColWidth="9.140625" defaultRowHeight="12.75"/>
  <cols>
    <col min="1" max="1" width="32.7109375" style="0" customWidth="1"/>
    <col min="2" max="2" width="11.8515625" style="0" bestFit="1" customWidth="1"/>
    <col min="3" max="3" width="11.7109375" style="0" bestFit="1" customWidth="1"/>
    <col min="4" max="4" width="10.140625" style="0" customWidth="1"/>
    <col min="5" max="5" width="16.140625" style="0" customWidth="1"/>
    <col min="6" max="6" width="21.28125" style="0" customWidth="1"/>
    <col min="7" max="7" width="27.28125" style="0" customWidth="1"/>
  </cols>
  <sheetData>
    <row r="1" spans="1:5" ht="15.75">
      <c r="A1" s="7" t="s">
        <v>32</v>
      </c>
      <c r="E1" s="11" t="s">
        <v>40</v>
      </c>
    </row>
    <row r="2" spans="5:7" ht="12.75">
      <c r="E2" s="11" t="s">
        <v>188</v>
      </c>
      <c r="F2" s="11" t="s">
        <v>60</v>
      </c>
      <c r="G2" s="11" t="s">
        <v>61</v>
      </c>
    </row>
    <row r="3" spans="1:7" ht="12.75">
      <c r="A3" s="11" t="s">
        <v>33</v>
      </c>
      <c r="E3" s="1" t="s">
        <v>24</v>
      </c>
      <c r="F3" s="1" t="s">
        <v>203</v>
      </c>
      <c r="G3" t="s">
        <v>62</v>
      </c>
    </row>
    <row r="4" spans="1:7" ht="12.75">
      <c r="A4" s="5" t="s">
        <v>34</v>
      </c>
      <c r="B4">
        <v>1.2</v>
      </c>
      <c r="E4" s="1" t="s">
        <v>150</v>
      </c>
      <c r="F4" s="1" t="s">
        <v>212</v>
      </c>
      <c r="G4" t="s">
        <v>161</v>
      </c>
    </row>
    <row r="5" spans="1:7" ht="12.75">
      <c r="A5" s="5" t="s">
        <v>201</v>
      </c>
      <c r="B5">
        <v>18</v>
      </c>
      <c r="E5" s="1" t="s">
        <v>126</v>
      </c>
      <c r="F5" s="1" t="s">
        <v>127</v>
      </c>
      <c r="G5" t="s">
        <v>136</v>
      </c>
    </row>
    <row r="6" spans="1:7" ht="12.75">
      <c r="A6" s="5" t="s">
        <v>36</v>
      </c>
      <c r="B6">
        <v>9.81</v>
      </c>
      <c r="E6" s="1" t="s">
        <v>241</v>
      </c>
      <c r="F6" s="1" t="s">
        <v>262</v>
      </c>
      <c r="G6" t="s">
        <v>254</v>
      </c>
    </row>
    <row r="7" spans="5:7" ht="12.75">
      <c r="E7" s="1" t="s">
        <v>242</v>
      </c>
      <c r="F7" s="1" t="s">
        <v>263</v>
      </c>
      <c r="G7" t="s">
        <v>255</v>
      </c>
    </row>
    <row r="8" spans="5:7" ht="12.75">
      <c r="E8" s="1" t="s">
        <v>41</v>
      </c>
      <c r="F8" s="1" t="s">
        <v>88</v>
      </c>
      <c r="G8" t="s">
        <v>63</v>
      </c>
    </row>
    <row r="9" spans="1:7" ht="15.75">
      <c r="A9" s="8" t="s">
        <v>123</v>
      </c>
      <c r="E9" s="1" t="s">
        <v>168</v>
      </c>
      <c r="F9" s="1" t="s">
        <v>169</v>
      </c>
      <c r="G9" t="s">
        <v>189</v>
      </c>
    </row>
    <row r="10" spans="1:7" ht="12.75">
      <c r="A10" s="5" t="s">
        <v>141</v>
      </c>
      <c r="B10" s="48">
        <f>rho_ref*(Tref+273)/(Tout+273)</f>
        <v>1.1718120805369128</v>
      </c>
      <c r="E10" s="1" t="s">
        <v>42</v>
      </c>
      <c r="F10" s="1" t="s">
        <v>89</v>
      </c>
      <c r="G10" t="s">
        <v>64</v>
      </c>
    </row>
    <row r="11" spans="1:7" ht="12.75">
      <c r="A11" s="5" t="s">
        <v>202</v>
      </c>
      <c r="B11" s="48">
        <f>rho_ref*(Tref+273)/(Tbs+273)</f>
        <v>1.1601328903654484</v>
      </c>
      <c r="E11" s="1" t="s">
        <v>170</v>
      </c>
      <c r="F11" s="1" t="s">
        <v>171</v>
      </c>
      <c r="G11" t="s">
        <v>189</v>
      </c>
    </row>
    <row r="12" spans="1:7" ht="12.75">
      <c r="A12" s="5" t="s">
        <v>35</v>
      </c>
      <c r="B12" s="48">
        <f>B10-B11</f>
        <v>0.011679190171464349</v>
      </c>
      <c r="E12" s="1" t="s">
        <v>43</v>
      </c>
      <c r="F12" s="1" t="s">
        <v>90</v>
      </c>
      <c r="G12" t="s">
        <v>65</v>
      </c>
    </row>
    <row r="13" spans="1:7" ht="12.75">
      <c r="A13" s="11" t="s">
        <v>37</v>
      </c>
      <c r="B13" s="6" t="s">
        <v>23</v>
      </c>
      <c r="C13" s="6" t="s">
        <v>24</v>
      </c>
      <c r="E13" s="1" t="s">
        <v>172</v>
      </c>
      <c r="F13" s="1" t="s">
        <v>173</v>
      </c>
      <c r="G13" t="s">
        <v>189</v>
      </c>
    </row>
    <row r="14" spans="1:7" ht="12.75">
      <c r="A14" s="5" t="s">
        <v>19</v>
      </c>
      <c r="B14" s="3">
        <v>0.68</v>
      </c>
      <c r="C14" s="3">
        <v>0.17</v>
      </c>
      <c r="E14" s="1" t="s">
        <v>44</v>
      </c>
      <c r="F14" s="1" t="s">
        <v>243</v>
      </c>
      <c r="G14" t="s">
        <v>66</v>
      </c>
    </row>
    <row r="15" spans="1:7" ht="12.75">
      <c r="A15" s="5" t="s">
        <v>20</v>
      </c>
      <c r="B15" s="3">
        <v>0.52</v>
      </c>
      <c r="C15" s="3">
        <v>0.2</v>
      </c>
      <c r="E15" s="1" t="s">
        <v>174</v>
      </c>
      <c r="F15" s="1" t="s">
        <v>175</v>
      </c>
      <c r="G15" t="s">
        <v>189</v>
      </c>
    </row>
    <row r="16" spans="1:7" ht="12.75">
      <c r="A16" s="5" t="s">
        <v>21</v>
      </c>
      <c r="B16" s="3">
        <v>0.35</v>
      </c>
      <c r="C16" s="3">
        <v>0.25</v>
      </c>
      <c r="E16" s="1" t="s">
        <v>228</v>
      </c>
      <c r="F16" s="1" t="s">
        <v>244</v>
      </c>
      <c r="G16" t="s">
        <v>256</v>
      </c>
    </row>
    <row r="17" spans="1:7" ht="12.75">
      <c r="A17" s="5" t="s">
        <v>22</v>
      </c>
      <c r="B17" s="3">
        <v>0.21</v>
      </c>
      <c r="C17" s="3">
        <v>0.33</v>
      </c>
      <c r="E17" s="1" t="s">
        <v>4</v>
      </c>
      <c r="F17" s="1" t="s">
        <v>204</v>
      </c>
      <c r="G17" s="1" t="s">
        <v>67</v>
      </c>
    </row>
    <row r="18" spans="1:7" ht="12.75">
      <c r="A18" s="5" t="s">
        <v>82</v>
      </c>
      <c r="B18" s="3">
        <v>1</v>
      </c>
      <c r="C18" s="3">
        <v>0</v>
      </c>
      <c r="E18" s="1" t="s">
        <v>151</v>
      </c>
      <c r="F18" s="1" t="s">
        <v>152</v>
      </c>
      <c r="G18" s="1" t="s">
        <v>162</v>
      </c>
    </row>
    <row r="19" spans="1:7" ht="12.75">
      <c r="A19" s="5" t="s">
        <v>25</v>
      </c>
      <c r="B19">
        <v>5</v>
      </c>
      <c r="E19" s="1" t="s">
        <v>153</v>
      </c>
      <c r="F19" s="1" t="s">
        <v>154</v>
      </c>
      <c r="G19" s="1" t="s">
        <v>163</v>
      </c>
    </row>
    <row r="20" spans="1:7" ht="12.75">
      <c r="A20" s="5" t="s">
        <v>38</v>
      </c>
      <c r="B20">
        <f>INDEX($B$14:$C$18,$B$19,1)</f>
        <v>1</v>
      </c>
      <c r="C20">
        <f>INDEX($B$14:$C$18,$B$19,2)</f>
        <v>0</v>
      </c>
      <c r="E20" s="1" t="s">
        <v>264</v>
      </c>
      <c r="F20" s="1" t="s">
        <v>265</v>
      </c>
      <c r="G20" s="1" t="s">
        <v>267</v>
      </c>
    </row>
    <row r="21" spans="5:7" ht="12.75">
      <c r="E21" s="1" t="s">
        <v>245</v>
      </c>
      <c r="F21" s="1" t="s">
        <v>246</v>
      </c>
      <c r="G21" s="1" t="s">
        <v>257</v>
      </c>
    </row>
    <row r="22" spans="5:7" ht="12.75">
      <c r="E22" s="1" t="s">
        <v>23</v>
      </c>
      <c r="F22" s="1" t="s">
        <v>205</v>
      </c>
      <c r="G22" s="1" t="s">
        <v>68</v>
      </c>
    </row>
    <row r="23" spans="1:7" ht="12.75">
      <c r="A23" s="11" t="s">
        <v>39</v>
      </c>
      <c r="E23" s="1" t="s">
        <v>155</v>
      </c>
      <c r="F23" s="1" t="s">
        <v>213</v>
      </c>
      <c r="G23" s="1" t="s">
        <v>161</v>
      </c>
    </row>
    <row r="24" spans="1:7" ht="12.75">
      <c r="A24" s="5" t="s">
        <v>192</v>
      </c>
      <c r="B24" s="53">
        <v>6147</v>
      </c>
      <c r="E24" s="1" t="s">
        <v>128</v>
      </c>
      <c r="F24" s="1" t="s">
        <v>129</v>
      </c>
      <c r="G24" s="1" t="s">
        <v>137</v>
      </c>
    </row>
    <row r="25" spans="1:7" ht="12.75">
      <c r="A25" s="5" t="s">
        <v>197</v>
      </c>
      <c r="B25" s="49">
        <f>(Ref_density_diff*g*((Z_stack-Z_1)+((Z_stack/(StratIndex+1))*((Tstack-Tout)/(Tbs-Tout)-1))*(1-(Tstack-Tout)/(Tstack+273))*(1-(Z_1^(StratIndex+1)/Z_stack^(StratIndex+1))))+0.5*rho_e*Site_wind_speed^2*Cp_1)</f>
        <v>1.0741580168981468</v>
      </c>
      <c r="E25" s="1" t="s">
        <v>227</v>
      </c>
      <c r="F25" s="1" t="s">
        <v>247</v>
      </c>
      <c r="G25" s="1" t="s">
        <v>258</v>
      </c>
    </row>
    <row r="26" spans="1:7" ht="12.75">
      <c r="A26" s="5" t="s">
        <v>198</v>
      </c>
      <c r="B26" s="49">
        <f>(Ref_density_diff*g*((Z_stack-Z_2)+((Z_stack/(StratIndex+1))*((Tstack-Tout)/(Tbs-Tout)-1))*(1-(Tstack-Tout)/(Tstack+273))*(1-(Z_2^(StratIndex+1)/Z_stack^(StratIndex+1))))+0.5*rho_e*Site_wind_speed^2*Cp_2)</f>
        <v>0.7011538952845606</v>
      </c>
      <c r="E26" s="1" t="s">
        <v>248</v>
      </c>
      <c r="F26" s="1" t="s">
        <v>249</v>
      </c>
      <c r="G26" s="1" t="s">
        <v>137</v>
      </c>
    </row>
    <row r="27" spans="1:7" ht="12.75">
      <c r="A27" s="5" t="s">
        <v>199</v>
      </c>
      <c r="B27" s="49">
        <f>(Ref_density_diff*g*((Z_stack-Z_3)+((Z_stack/(StratIndex+1))*((Tstack-Tout)/(Tbs-Tout)-1))*(1-(Tstack-Tout)/(Tstack+273))*(1-(Z_3^(StratIndex+1)/Z_stack^(StratIndex+1))))+0.5*rho_e*Site_wind_speed^2*Cp_3)</f>
        <v>0.29625847922693055</v>
      </c>
      <c r="E27" s="1" t="s">
        <v>156</v>
      </c>
      <c r="F27" s="1" t="s">
        <v>220</v>
      </c>
      <c r="G27" s="1" t="s">
        <v>164</v>
      </c>
    </row>
    <row r="28" spans="1:7" ht="12.75">
      <c r="A28" s="5" t="s">
        <v>193</v>
      </c>
      <c r="B28" s="49">
        <f>MIN(B25:B27)-0.0002</f>
        <v>0.29605847922693057</v>
      </c>
      <c r="E28" s="1" t="s">
        <v>57</v>
      </c>
      <c r="F28" s="1" t="s">
        <v>214</v>
      </c>
      <c r="G28" s="1" t="s">
        <v>69</v>
      </c>
    </row>
    <row r="29" spans="1:7" ht="12.75">
      <c r="A29" s="5" t="s">
        <v>196</v>
      </c>
      <c r="B29" s="49">
        <f>(Ref_density_diff*g*((Z_stack-Z_4)+((Z_stack/(StratIndex+1))*((Tstack-Tout)/(Tbs-Tout)-1))*(1-(Tstack-Tout)/(Tstack+273))*(1-(Z_4^(StratIndex+1)/Z_stack^(StratIndex+1))))+0.5*rho_e*Site_wind_speed^2*Cp_4)+0.0002</f>
        <v>-0.4607243428419215</v>
      </c>
      <c r="E29" s="1" t="s">
        <v>194</v>
      </c>
      <c r="F29" s="1" t="s">
        <v>210</v>
      </c>
      <c r="G29" s="1" t="s">
        <v>195</v>
      </c>
    </row>
    <row r="30" spans="1:7" ht="12.75">
      <c r="A30" s="5" t="s">
        <v>146</v>
      </c>
      <c r="B30" s="2">
        <f>B29+B24*(B28-B29)/10000</f>
        <v>0.004470057883801837</v>
      </c>
      <c r="E30" s="1" t="s">
        <v>10</v>
      </c>
      <c r="F30" s="1" t="s">
        <v>206</v>
      </c>
      <c r="G30" s="1" t="s">
        <v>70</v>
      </c>
    </row>
    <row r="31" spans="5:7" ht="12.75">
      <c r="E31" s="1" t="s">
        <v>157</v>
      </c>
      <c r="F31" s="1" t="s">
        <v>215</v>
      </c>
      <c r="G31" s="1" t="s">
        <v>165</v>
      </c>
    </row>
    <row r="32" spans="1:7" ht="12.75">
      <c r="A32" s="11" t="s">
        <v>49</v>
      </c>
      <c r="B32" s="6" t="s">
        <v>53</v>
      </c>
      <c r="C32" s="6" t="s">
        <v>52</v>
      </c>
      <c r="E32" s="1" t="s">
        <v>159</v>
      </c>
      <c r="F32" s="1" t="s">
        <v>158</v>
      </c>
      <c r="G32" s="1" t="s">
        <v>166</v>
      </c>
    </row>
    <row r="33" spans="1:7" ht="12.75">
      <c r="A33" t="s">
        <v>50</v>
      </c>
      <c r="B33" s="3">
        <f>0</f>
        <v>0</v>
      </c>
      <c r="C33" s="3">
        <f>IF(StratIndex=0,Tstack,Tbs/(1-(1-Tbs/Tstack)*(B33/Z_stack)^StratIndex))</f>
        <v>28</v>
      </c>
      <c r="E33" s="1" t="s">
        <v>160</v>
      </c>
      <c r="F33" s="1" t="s">
        <v>216</v>
      </c>
      <c r="G33" s="1" t="s">
        <v>167</v>
      </c>
    </row>
    <row r="34" spans="2:7" ht="12.75">
      <c r="B34" s="3">
        <f>Z_1</f>
        <v>1.85</v>
      </c>
      <c r="C34" s="3">
        <f>Tbs/(1-(1-Tbs/Tstack)*(B34/Z_stack)^StratIndex)</f>
        <v>28.00002009648035</v>
      </c>
      <c r="E34" s="1" t="s">
        <v>207</v>
      </c>
      <c r="F34" s="1" t="s">
        <v>208</v>
      </c>
      <c r="G34" s="1" t="s">
        <v>219</v>
      </c>
    </row>
    <row r="35" spans="2:7" ht="12.75">
      <c r="B35" s="3">
        <f>Z_2</f>
        <v>5.1</v>
      </c>
      <c r="C35" s="3">
        <f>Tbs/(1-(1-Tbs/Tstack)*(B35/Z_stack)^StratIndex)</f>
        <v>28.02433807118528</v>
      </c>
      <c r="E35" s="1" t="s">
        <v>5</v>
      </c>
      <c r="F35" s="1" t="s">
        <v>46</v>
      </c>
      <c r="G35" s="1" t="s">
        <v>71</v>
      </c>
    </row>
    <row r="36" spans="2:7" ht="12.75">
      <c r="B36" s="3">
        <f>Z_3</f>
        <v>8.35</v>
      </c>
      <c r="C36" s="3">
        <f>Tbs/(1-(1-Tbs/Tstack)*(B36/Z_stack)^StratIndex)</f>
        <v>28.78846682642488</v>
      </c>
      <c r="E36" s="1" t="s">
        <v>250</v>
      </c>
      <c r="F36" s="1" t="s">
        <v>266</v>
      </c>
      <c r="G36" s="1" t="s">
        <v>259</v>
      </c>
    </row>
    <row r="37" spans="2:7" ht="12.75">
      <c r="B37" s="3">
        <f>Z_4</f>
        <v>11.5</v>
      </c>
      <c r="C37" s="3">
        <f>Tbs/(1-(1-Tbs/Tstack)*(B37/Z_stack)^StratIndex)</f>
        <v>37.70644000282825</v>
      </c>
      <c r="E37" s="1" t="s">
        <v>47</v>
      </c>
      <c r="F37" s="1" t="s">
        <v>91</v>
      </c>
      <c r="G37" s="1" t="s">
        <v>72</v>
      </c>
    </row>
    <row r="38" spans="2:7" ht="12.75">
      <c r="B38" s="3"/>
      <c r="C38" s="3"/>
      <c r="E38" s="1" t="s">
        <v>6</v>
      </c>
      <c r="F38" s="1" t="s">
        <v>92</v>
      </c>
      <c r="G38" s="1" t="s">
        <v>73</v>
      </c>
    </row>
    <row r="39" spans="1:7" ht="12.75">
      <c r="A39" t="s">
        <v>59</v>
      </c>
      <c r="B39" s="2">
        <f>IF(ABS('Single-cell'!$B$4-Tstack)&lt;0.01,'Single-cell'!$B$4+0.0001,'Single-cell'!$B$4)</f>
        <v>25</v>
      </c>
      <c r="C39" s="3"/>
      <c r="E39" s="1" t="s">
        <v>7</v>
      </c>
      <c r="F39" s="1" t="s">
        <v>93</v>
      </c>
      <c r="G39" s="1" t="s">
        <v>74</v>
      </c>
    </row>
    <row r="40" spans="2:7" ht="12.75">
      <c r="B40" s="3"/>
      <c r="C40" s="3"/>
      <c r="E40" s="1" t="s">
        <v>130</v>
      </c>
      <c r="F40" s="1" t="s">
        <v>131</v>
      </c>
      <c r="G40" s="1" t="s">
        <v>138</v>
      </c>
    </row>
    <row r="41" spans="1:7" ht="15.75">
      <c r="A41" s="7" t="s">
        <v>124</v>
      </c>
      <c r="B41" s="3"/>
      <c r="C41" s="3"/>
      <c r="E41" s="1" t="s">
        <v>132</v>
      </c>
      <c r="F41" s="1" t="s">
        <v>133</v>
      </c>
      <c r="G41" s="1" t="s">
        <v>139</v>
      </c>
    </row>
    <row r="42" spans="1:7" ht="12.75">
      <c r="A42" t="s">
        <v>106</v>
      </c>
      <c r="B42" s="31">
        <v>1</v>
      </c>
      <c r="C42" s="3"/>
      <c r="E42" s="1" t="s">
        <v>134</v>
      </c>
      <c r="F42" s="1" t="s">
        <v>135</v>
      </c>
      <c r="G42" s="1" t="s">
        <v>140</v>
      </c>
    </row>
    <row r="43" spans="2:7" ht="12.75">
      <c r="B43" s="31">
        <v>2</v>
      </c>
      <c r="C43" s="3"/>
      <c r="E43" s="1" t="s">
        <v>8</v>
      </c>
      <c r="F43" s="1" t="s">
        <v>217</v>
      </c>
      <c r="G43" s="1" t="s">
        <v>75</v>
      </c>
    </row>
    <row r="44" spans="1:7" ht="12.75">
      <c r="A44" t="s">
        <v>107</v>
      </c>
      <c r="B44" s="51">
        <v>2</v>
      </c>
      <c r="E44" s="1" t="s">
        <v>9</v>
      </c>
      <c r="F44" s="1" t="s">
        <v>218</v>
      </c>
      <c r="G44" s="1" t="s">
        <v>76</v>
      </c>
    </row>
    <row r="45" spans="5:7" ht="12.75">
      <c r="E45" s="1" t="s">
        <v>209</v>
      </c>
      <c r="F45" s="1" t="s">
        <v>45</v>
      </c>
      <c r="G45" s="1" t="s">
        <v>211</v>
      </c>
    </row>
    <row r="46" spans="1:7" ht="15.75">
      <c r="A46" s="7" t="s">
        <v>125</v>
      </c>
      <c r="E46" s="1" t="s">
        <v>58</v>
      </c>
      <c r="F46" s="1" t="s">
        <v>94</v>
      </c>
      <c r="G46" s="1" t="s">
        <v>77</v>
      </c>
    </row>
    <row r="47" spans="1:7" ht="12.75">
      <c r="A47" t="s">
        <v>141</v>
      </c>
      <c r="B47" s="48">
        <f>rho_ref*(Tref+273)/(Tcout+273)</f>
        <v>1.1718120805369128</v>
      </c>
      <c r="E47" s="1" t="s">
        <v>176</v>
      </c>
      <c r="F47" s="1" t="s">
        <v>177</v>
      </c>
      <c r="G47" s="1" t="s">
        <v>190</v>
      </c>
    </row>
    <row r="48" spans="1:7" ht="12.75">
      <c r="A48" t="s">
        <v>142</v>
      </c>
      <c r="B48" s="48">
        <f>rho_ref*(Tref+273)/(Tcroom+273)</f>
        <v>1.1601328903654484</v>
      </c>
      <c r="C48">
        <f>rho_c_e-rho_c_r</f>
        <v>0.011679190171464349</v>
      </c>
      <c r="E48" s="1" t="s">
        <v>178</v>
      </c>
      <c r="F48" s="1" t="s">
        <v>179</v>
      </c>
      <c r="G48" s="1" t="s">
        <v>191</v>
      </c>
    </row>
    <row r="49" spans="1:7" ht="12.75">
      <c r="A49" t="s">
        <v>143</v>
      </c>
      <c r="B49" s="48">
        <f>rho_ref*(Tref+273)/(Tcchimney+273)</f>
        <v>1.1486842105263158</v>
      </c>
      <c r="E49" s="1" t="s">
        <v>48</v>
      </c>
      <c r="F49" s="1" t="s">
        <v>95</v>
      </c>
      <c r="G49" s="1" t="s">
        <v>78</v>
      </c>
    </row>
    <row r="50" spans="5:7" ht="12.75">
      <c r="E50" s="1" t="s">
        <v>251</v>
      </c>
      <c r="F50" s="1" t="s">
        <v>252</v>
      </c>
      <c r="G50" s="1" t="s">
        <v>260</v>
      </c>
    </row>
    <row r="51" spans="1:7" ht="12.75">
      <c r="A51" t="s">
        <v>145</v>
      </c>
      <c r="B51" s="53">
        <v>4839</v>
      </c>
      <c r="E51" s="1" t="s">
        <v>11</v>
      </c>
      <c r="F51" s="1" t="s">
        <v>96</v>
      </c>
      <c r="G51" s="1" t="s">
        <v>79</v>
      </c>
    </row>
    <row r="52" spans="1:7" ht="12.75">
      <c r="A52" t="s">
        <v>149</v>
      </c>
      <c r="B52" s="54">
        <f>(-rho_c_e*g*(Hcb+hcc))-(-rho_c_r*g*(Hcb+hcc-l_c)-rho_c_c*g*l_c)+0.5*rho_c_e*VcSite^2*Cp_4c+0.0002</f>
        <v>-2.215880232968892</v>
      </c>
      <c r="E52" s="1" t="s">
        <v>180</v>
      </c>
      <c r="F52" s="1" t="s">
        <v>181</v>
      </c>
      <c r="G52" t="s">
        <v>189</v>
      </c>
    </row>
    <row r="53" spans="1:7" ht="12.75">
      <c r="A53" t="s">
        <v>197</v>
      </c>
      <c r="B53" s="54">
        <f>-Z_1c*g*rho_c_e-(-Z_1c*g*rho_c_r)+0.5*rho_c_e*VcSite^2*Cp_1c</f>
        <v>-0.2119597828268205</v>
      </c>
      <c r="E53" s="1" t="s">
        <v>12</v>
      </c>
      <c r="F53" s="1" t="s">
        <v>97</v>
      </c>
      <c r="G53" s="1" t="s">
        <v>64</v>
      </c>
    </row>
    <row r="54" spans="1:7" ht="12.75">
      <c r="A54" t="s">
        <v>198</v>
      </c>
      <c r="B54" s="54">
        <f>-Z_2c*g*rho_c_e-(-Z_2c*g*rho_c_r)+0.5*rho_c_e*VcSite^2*Cp_2c</f>
        <v>-0.584321563468535</v>
      </c>
      <c r="E54" s="1" t="s">
        <v>182</v>
      </c>
      <c r="F54" s="1" t="s">
        <v>183</v>
      </c>
      <c r="G54" t="s">
        <v>189</v>
      </c>
    </row>
    <row r="55" spans="1:7" ht="12.75">
      <c r="A55" t="s">
        <v>199</v>
      </c>
      <c r="B55" s="54">
        <f>-Z_3c*g*rho_c_e-(-Z_3c*g*rho_c_r)+0.5*rho_c_e*VcSite^2*Cp_3c</f>
        <v>-0.956683344110246</v>
      </c>
      <c r="E55" s="1" t="s">
        <v>13</v>
      </c>
      <c r="F55" s="1" t="s">
        <v>98</v>
      </c>
      <c r="G55" s="1" t="s">
        <v>65</v>
      </c>
    </row>
    <row r="56" spans="1:7" ht="12.75">
      <c r="A56" t="s">
        <v>200</v>
      </c>
      <c r="B56" s="49">
        <f>MIN(B53:B55)-0.0002</f>
        <v>-0.956883344110246</v>
      </c>
      <c r="E56" s="1" t="s">
        <v>184</v>
      </c>
      <c r="F56" s="1" t="s">
        <v>185</v>
      </c>
      <c r="G56" t="s">
        <v>189</v>
      </c>
    </row>
    <row r="57" spans="1:7" ht="12.75">
      <c r="A57" t="s">
        <v>146</v>
      </c>
      <c r="B57" s="49">
        <f>B52+B51*(B56-B52)/10000</f>
        <v>-1.6066516384501932</v>
      </c>
      <c r="E57" s="1" t="s">
        <v>14</v>
      </c>
      <c r="F57" s="1" t="s">
        <v>253</v>
      </c>
      <c r="G57" s="1" t="s">
        <v>66</v>
      </c>
    </row>
    <row r="58" spans="1:7" ht="12.75">
      <c r="A58" t="s">
        <v>147</v>
      </c>
      <c r="B58">
        <v>5</v>
      </c>
      <c r="E58" s="1" t="s">
        <v>186</v>
      </c>
      <c r="F58" s="1" t="s">
        <v>187</v>
      </c>
      <c r="G58" t="s">
        <v>189</v>
      </c>
    </row>
    <row r="59" spans="1:7" ht="12.75">
      <c r="A59" t="s">
        <v>148</v>
      </c>
      <c r="B59">
        <f>INDEX($B$14:$C$18,$B$58,1)</f>
        <v>1</v>
      </c>
      <c r="C59">
        <f>INDEX($B$14:$C$18,$B$58,2)</f>
        <v>0</v>
      </c>
      <c r="E59" s="1" t="s">
        <v>55</v>
      </c>
      <c r="F59" s="1" t="s">
        <v>99</v>
      </c>
      <c r="G59" s="1" t="s">
        <v>80</v>
      </c>
    </row>
    <row r="60" spans="5:7" ht="12.75">
      <c r="E60" s="1" t="s">
        <v>56</v>
      </c>
      <c r="F60" s="1" t="s">
        <v>100</v>
      </c>
      <c r="G60" s="1" t="s">
        <v>81</v>
      </c>
    </row>
    <row r="63" ht="12.75">
      <c r="A63" s="11" t="s">
        <v>240</v>
      </c>
    </row>
    <row r="64" spans="1:9" ht="25.5">
      <c r="A64" s="57" t="s">
        <v>237</v>
      </c>
      <c r="B64" s="57" t="s">
        <v>239</v>
      </c>
      <c r="C64" s="57" t="s">
        <v>229</v>
      </c>
      <c r="D64" s="57" t="s">
        <v>227</v>
      </c>
      <c r="E64" s="57" t="s">
        <v>234</v>
      </c>
      <c r="F64" s="57" t="s">
        <v>230</v>
      </c>
      <c r="G64" s="57" t="s">
        <v>231</v>
      </c>
      <c r="H64" s="57" t="s">
        <v>232</v>
      </c>
      <c r="I64" s="57" t="s">
        <v>233</v>
      </c>
    </row>
    <row r="65" spans="1:9" ht="12.75">
      <c r="A65">
        <v>0</v>
      </c>
      <c r="B65">
        <f>IAQ!B15</f>
        <v>5</v>
      </c>
      <c r="C65" s="56">
        <f aca="true" t="shared" si="0" ref="C65:C89">VLOOKUP($B65,Condition_set,2)</f>
        <v>350</v>
      </c>
      <c r="D65" s="56">
        <f aca="true" t="shared" si="1" ref="D65:D89">VLOOKUP($B65,Condition_set,3)</f>
        <v>0</v>
      </c>
      <c r="E65" s="3">
        <f aca="true" t="shared" si="2" ref="E65:E89">D65*CO2_emission_rate/(1000*3600)*1000000</f>
        <v>0</v>
      </c>
      <c r="F65" s="56">
        <f aca="true" t="shared" si="3" ref="F65:F89">VLOOKUP($B65,Condition_set,4)</f>
        <v>0.25</v>
      </c>
      <c r="G65" s="2">
        <f aca="true" t="shared" si="4" ref="G65:G89">F65*Room_volume/3600</f>
        <v>0.20833333333333334</v>
      </c>
      <c r="H65" s="56">
        <f>Initial_CO2_conc</f>
        <v>791.3</v>
      </c>
      <c r="I65" s="56">
        <f aca="true" t="shared" si="5" ref="I65:I89">Outside_CO2+Emissions/Volume_flow-(Outside_CO2+Emissions/Volume_flow-Initial_vpm)*EXP(-Volume_flow*3600/Room_volume)</f>
        <v>693.6847855694109</v>
      </c>
    </row>
    <row r="66" spans="1:9" ht="12.75">
      <c r="A66">
        <v>1</v>
      </c>
      <c r="B66">
        <f>IAQ!B16</f>
        <v>5</v>
      </c>
      <c r="C66" s="56">
        <f t="shared" si="0"/>
        <v>350</v>
      </c>
      <c r="D66" s="56">
        <f t="shared" si="1"/>
        <v>0</v>
      </c>
      <c r="E66" s="3">
        <f t="shared" si="2"/>
        <v>0</v>
      </c>
      <c r="F66" s="56">
        <f t="shared" si="3"/>
        <v>0.25</v>
      </c>
      <c r="G66" s="2">
        <f t="shared" si="4"/>
        <v>0.20833333333333334</v>
      </c>
      <c r="H66" s="56">
        <f aca="true" t="shared" si="6" ref="H66:H89">I65</f>
        <v>693.6847855694109</v>
      </c>
      <c r="I66" s="56">
        <f t="shared" si="5"/>
        <v>617.6619801311851</v>
      </c>
    </row>
    <row r="67" spans="1:9" ht="12.75">
      <c r="A67">
        <v>2</v>
      </c>
      <c r="B67">
        <f>IAQ!B17</f>
        <v>5</v>
      </c>
      <c r="C67" s="56">
        <f t="shared" si="0"/>
        <v>350</v>
      </c>
      <c r="D67" s="56">
        <f t="shared" si="1"/>
        <v>0</v>
      </c>
      <c r="E67" s="3">
        <f t="shared" si="2"/>
        <v>0</v>
      </c>
      <c r="F67" s="56">
        <f t="shared" si="3"/>
        <v>0.25</v>
      </c>
      <c r="G67" s="2">
        <f t="shared" si="4"/>
        <v>0.20833333333333334</v>
      </c>
      <c r="H67" s="56">
        <f t="shared" si="6"/>
        <v>617.6619801311851</v>
      </c>
      <c r="I67" s="56">
        <f t="shared" si="5"/>
        <v>558.4553597246098</v>
      </c>
    </row>
    <row r="68" spans="1:9" ht="12.75">
      <c r="A68">
        <v>3</v>
      </c>
      <c r="B68">
        <f>IAQ!B18</f>
        <v>5</v>
      </c>
      <c r="C68" s="56">
        <f t="shared" si="0"/>
        <v>350</v>
      </c>
      <c r="D68" s="56">
        <f t="shared" si="1"/>
        <v>0</v>
      </c>
      <c r="E68" s="3">
        <f t="shared" si="2"/>
        <v>0</v>
      </c>
      <c r="F68" s="56">
        <f t="shared" si="3"/>
        <v>0.25</v>
      </c>
      <c r="G68" s="2">
        <f t="shared" si="4"/>
        <v>0.20833333333333334</v>
      </c>
      <c r="H68" s="56">
        <f t="shared" si="6"/>
        <v>558.4553597246098</v>
      </c>
      <c r="I68" s="56">
        <f t="shared" si="5"/>
        <v>512.3451973889576</v>
      </c>
    </row>
    <row r="69" spans="1:9" ht="12.75">
      <c r="A69">
        <v>4</v>
      </c>
      <c r="B69">
        <f>IAQ!B19</f>
        <v>5</v>
      </c>
      <c r="C69" s="56">
        <f t="shared" si="0"/>
        <v>350</v>
      </c>
      <c r="D69" s="56">
        <f t="shared" si="1"/>
        <v>0</v>
      </c>
      <c r="E69" s="3">
        <f t="shared" si="2"/>
        <v>0</v>
      </c>
      <c r="F69" s="56">
        <f t="shared" si="3"/>
        <v>0.25</v>
      </c>
      <c r="G69" s="2">
        <f t="shared" si="4"/>
        <v>0.20833333333333334</v>
      </c>
      <c r="H69" s="56">
        <f t="shared" si="6"/>
        <v>512.3451973889576</v>
      </c>
      <c r="I69" s="56">
        <f t="shared" si="5"/>
        <v>476.43456685440196</v>
      </c>
    </row>
    <row r="70" spans="1:9" ht="12.75">
      <c r="A70">
        <v>5</v>
      </c>
      <c r="B70">
        <f>IAQ!B20</f>
        <v>5</v>
      </c>
      <c r="C70" s="56">
        <f t="shared" si="0"/>
        <v>350</v>
      </c>
      <c r="D70" s="56">
        <f t="shared" si="1"/>
        <v>0</v>
      </c>
      <c r="E70" s="3">
        <f t="shared" si="2"/>
        <v>0</v>
      </c>
      <c r="F70" s="56">
        <f t="shared" si="3"/>
        <v>0.25</v>
      </c>
      <c r="G70" s="2">
        <f t="shared" si="4"/>
        <v>0.20833333333333334</v>
      </c>
      <c r="H70" s="56">
        <f t="shared" si="6"/>
        <v>476.43456685440196</v>
      </c>
      <c r="I70" s="56">
        <f t="shared" si="5"/>
        <v>448.4673396735021</v>
      </c>
    </row>
    <row r="71" spans="1:9" ht="12.75">
      <c r="A71">
        <v>6</v>
      </c>
      <c r="B71">
        <f>IAQ!B21</f>
        <v>5</v>
      </c>
      <c r="C71" s="56">
        <f t="shared" si="0"/>
        <v>350</v>
      </c>
      <c r="D71" s="56">
        <f t="shared" si="1"/>
        <v>0</v>
      </c>
      <c r="E71" s="3">
        <f t="shared" si="2"/>
        <v>0</v>
      </c>
      <c r="F71" s="56">
        <f t="shared" si="3"/>
        <v>0.25</v>
      </c>
      <c r="G71" s="2">
        <f t="shared" si="4"/>
        <v>0.20833333333333334</v>
      </c>
      <c r="H71" s="56">
        <f t="shared" si="6"/>
        <v>448.4673396735021</v>
      </c>
      <c r="I71" s="56">
        <f t="shared" si="5"/>
        <v>426.6864412446815</v>
      </c>
    </row>
    <row r="72" spans="1:9" ht="12.75">
      <c r="A72">
        <v>7</v>
      </c>
      <c r="B72">
        <f>IAQ!B22</f>
        <v>5</v>
      </c>
      <c r="C72" s="56">
        <f t="shared" si="0"/>
        <v>350</v>
      </c>
      <c r="D72" s="56">
        <f t="shared" si="1"/>
        <v>0</v>
      </c>
      <c r="E72" s="3">
        <f t="shared" si="2"/>
        <v>0</v>
      </c>
      <c r="F72" s="56">
        <f t="shared" si="3"/>
        <v>0.25</v>
      </c>
      <c r="G72" s="2">
        <f t="shared" si="4"/>
        <v>0.20833333333333334</v>
      </c>
      <c r="H72" s="56">
        <f t="shared" si="6"/>
        <v>426.6864412446815</v>
      </c>
      <c r="I72" s="56">
        <f t="shared" si="5"/>
        <v>409.7234604923172</v>
      </c>
    </row>
    <row r="73" spans="1:9" ht="12.75">
      <c r="A73">
        <v>8</v>
      </c>
      <c r="B73">
        <f>IAQ!B23</f>
        <v>3</v>
      </c>
      <c r="C73" s="56">
        <f t="shared" si="0"/>
        <v>450</v>
      </c>
      <c r="D73" s="56">
        <f t="shared" si="1"/>
        <v>100</v>
      </c>
      <c r="E73" s="3">
        <f t="shared" si="2"/>
        <v>555.5555555555555</v>
      </c>
      <c r="F73" s="56">
        <f t="shared" si="3"/>
        <v>0.3</v>
      </c>
      <c r="G73" s="2">
        <f t="shared" si="4"/>
        <v>0.25</v>
      </c>
      <c r="H73" s="56">
        <f t="shared" si="6"/>
        <v>409.7234604923172</v>
      </c>
      <c r="I73" s="56">
        <f t="shared" si="5"/>
        <v>996.1219152628842</v>
      </c>
    </row>
    <row r="74" spans="1:9" ht="12.75">
      <c r="A74">
        <v>9</v>
      </c>
      <c r="B74">
        <f>IAQ!B24</f>
        <v>3</v>
      </c>
      <c r="C74" s="56">
        <f t="shared" si="0"/>
        <v>450</v>
      </c>
      <c r="D74" s="56">
        <f t="shared" si="1"/>
        <v>100</v>
      </c>
      <c r="E74" s="3">
        <f t="shared" si="2"/>
        <v>555.5555555555555</v>
      </c>
      <c r="F74" s="56">
        <f t="shared" si="3"/>
        <v>0.3</v>
      </c>
      <c r="G74" s="2">
        <f t="shared" si="4"/>
        <v>0.25</v>
      </c>
      <c r="H74" s="56">
        <f t="shared" si="6"/>
        <v>996.1219152628842</v>
      </c>
      <c r="I74" s="56">
        <f t="shared" si="5"/>
        <v>1430.5365751365243</v>
      </c>
    </row>
    <row r="75" spans="1:9" ht="12.75">
      <c r="A75">
        <v>10</v>
      </c>
      <c r="B75">
        <f>IAQ!B25</f>
        <v>3</v>
      </c>
      <c r="C75" s="56">
        <f t="shared" si="0"/>
        <v>450</v>
      </c>
      <c r="D75" s="56">
        <f t="shared" si="1"/>
        <v>100</v>
      </c>
      <c r="E75" s="3">
        <f t="shared" si="2"/>
        <v>555.5555555555555</v>
      </c>
      <c r="F75" s="56">
        <f t="shared" si="3"/>
        <v>0.3</v>
      </c>
      <c r="G75" s="2">
        <f t="shared" si="4"/>
        <v>0.25</v>
      </c>
      <c r="H75" s="56">
        <f t="shared" si="6"/>
        <v>1430.5365751365243</v>
      </c>
      <c r="I75" s="56">
        <f t="shared" si="5"/>
        <v>1752.358870502168</v>
      </c>
    </row>
    <row r="76" spans="1:9" ht="12.75">
      <c r="A76">
        <v>11</v>
      </c>
      <c r="B76">
        <f>IAQ!B26</f>
        <v>4</v>
      </c>
      <c r="C76" s="56">
        <f t="shared" si="0"/>
        <v>450</v>
      </c>
      <c r="D76" s="56">
        <f t="shared" si="1"/>
        <v>100</v>
      </c>
      <c r="E76" s="3">
        <f t="shared" si="2"/>
        <v>555.5555555555555</v>
      </c>
      <c r="F76" s="56">
        <f t="shared" si="3"/>
        <v>4.8</v>
      </c>
      <c r="G76" s="2">
        <f t="shared" si="4"/>
        <v>4</v>
      </c>
      <c r="H76" s="56">
        <f t="shared" si="6"/>
        <v>1752.358870502168</v>
      </c>
      <c r="I76" s="56">
        <f t="shared" si="5"/>
        <v>598.4639525366941</v>
      </c>
    </row>
    <row r="77" spans="1:9" ht="12.75">
      <c r="A77">
        <v>12</v>
      </c>
      <c r="B77">
        <f>IAQ!B27</f>
        <v>4</v>
      </c>
      <c r="C77" s="56">
        <f t="shared" si="0"/>
        <v>450</v>
      </c>
      <c r="D77" s="56">
        <f t="shared" si="1"/>
        <v>100</v>
      </c>
      <c r="E77" s="3">
        <f t="shared" si="2"/>
        <v>555.5555555555555</v>
      </c>
      <c r="F77" s="56">
        <f t="shared" si="3"/>
        <v>4.8</v>
      </c>
      <c r="G77" s="2">
        <f t="shared" si="4"/>
        <v>4</v>
      </c>
      <c r="H77" s="56">
        <f t="shared" si="6"/>
        <v>598.4639525366941</v>
      </c>
      <c r="I77" s="56">
        <f t="shared" si="5"/>
        <v>588.9676892406886</v>
      </c>
    </row>
    <row r="78" spans="1:9" ht="12.75">
      <c r="A78">
        <v>13</v>
      </c>
      <c r="B78">
        <f>IAQ!B28</f>
        <v>3</v>
      </c>
      <c r="C78" s="56">
        <f t="shared" si="0"/>
        <v>450</v>
      </c>
      <c r="D78" s="56">
        <f t="shared" si="1"/>
        <v>100</v>
      </c>
      <c r="E78" s="3">
        <f t="shared" si="2"/>
        <v>555.5555555555555</v>
      </c>
      <c r="F78" s="56">
        <f t="shared" si="3"/>
        <v>0.3</v>
      </c>
      <c r="G78" s="2">
        <f t="shared" si="4"/>
        <v>0.25</v>
      </c>
      <c r="H78" s="56">
        <f t="shared" si="6"/>
        <v>588.9676892406886</v>
      </c>
      <c r="I78" s="56">
        <f t="shared" si="5"/>
        <v>1128.9093058717194</v>
      </c>
    </row>
    <row r="79" spans="1:9" ht="12.75">
      <c r="A79">
        <v>14</v>
      </c>
      <c r="B79">
        <f>IAQ!B29</f>
        <v>3</v>
      </c>
      <c r="C79" s="56">
        <f t="shared" si="0"/>
        <v>450</v>
      </c>
      <c r="D79" s="56">
        <f t="shared" si="1"/>
        <v>100</v>
      </c>
      <c r="E79" s="3">
        <f t="shared" si="2"/>
        <v>555.5555555555555</v>
      </c>
      <c r="F79" s="56">
        <f t="shared" si="3"/>
        <v>0.3</v>
      </c>
      <c r="G79" s="2">
        <f t="shared" si="4"/>
        <v>0.25</v>
      </c>
      <c r="H79" s="56">
        <f t="shared" si="6"/>
        <v>1128.9093058717194</v>
      </c>
      <c r="I79" s="56">
        <f t="shared" si="5"/>
        <v>1528.9078935763298</v>
      </c>
    </row>
    <row r="80" spans="1:9" ht="12.75">
      <c r="A80">
        <v>15</v>
      </c>
      <c r="B80">
        <f>IAQ!B30</f>
        <v>3</v>
      </c>
      <c r="C80" s="56">
        <f t="shared" si="0"/>
        <v>450</v>
      </c>
      <c r="D80" s="56">
        <f t="shared" si="1"/>
        <v>100</v>
      </c>
      <c r="E80" s="3">
        <f t="shared" si="2"/>
        <v>555.5555555555555</v>
      </c>
      <c r="F80" s="56">
        <f t="shared" si="3"/>
        <v>0.3</v>
      </c>
      <c r="G80" s="2">
        <f t="shared" si="4"/>
        <v>0.25</v>
      </c>
      <c r="H80" s="56">
        <f t="shared" si="6"/>
        <v>1528.9078935763298</v>
      </c>
      <c r="I80" s="56">
        <f t="shared" si="5"/>
        <v>1825.2341355948593</v>
      </c>
    </row>
    <row r="81" spans="1:9" ht="12.75">
      <c r="A81">
        <v>16</v>
      </c>
      <c r="B81">
        <f>IAQ!B31</f>
        <v>3</v>
      </c>
      <c r="C81" s="56">
        <f t="shared" si="0"/>
        <v>450</v>
      </c>
      <c r="D81" s="56">
        <f t="shared" si="1"/>
        <v>100</v>
      </c>
      <c r="E81" s="3">
        <f t="shared" si="2"/>
        <v>555.5555555555555</v>
      </c>
      <c r="F81" s="56">
        <f t="shared" si="3"/>
        <v>0.3</v>
      </c>
      <c r="G81" s="2">
        <f t="shared" si="4"/>
        <v>0.25</v>
      </c>
      <c r="H81" s="56">
        <f t="shared" si="6"/>
        <v>1825.2341355948593</v>
      </c>
      <c r="I81" s="56">
        <f t="shared" si="5"/>
        <v>2044.7580149483265</v>
      </c>
    </row>
    <row r="82" spans="1:9" ht="12.75">
      <c r="A82">
        <v>17</v>
      </c>
      <c r="B82">
        <f>IAQ!B32</f>
        <v>3</v>
      </c>
      <c r="C82" s="56">
        <f t="shared" si="0"/>
        <v>450</v>
      </c>
      <c r="D82" s="56">
        <f t="shared" si="1"/>
        <v>100</v>
      </c>
      <c r="E82" s="3">
        <f t="shared" si="2"/>
        <v>555.5555555555555</v>
      </c>
      <c r="F82" s="56">
        <f t="shared" si="3"/>
        <v>0.3</v>
      </c>
      <c r="G82" s="2">
        <f t="shared" si="4"/>
        <v>0.25</v>
      </c>
      <c r="H82" s="56">
        <f t="shared" si="6"/>
        <v>2044.7580149483265</v>
      </c>
      <c r="I82" s="56">
        <f t="shared" si="5"/>
        <v>2207.38530464811</v>
      </c>
    </row>
    <row r="83" spans="1:9" ht="12.75">
      <c r="A83">
        <v>18</v>
      </c>
      <c r="B83">
        <f>IAQ!B33</f>
        <v>3</v>
      </c>
      <c r="C83" s="56">
        <f t="shared" si="0"/>
        <v>450</v>
      </c>
      <c r="D83" s="56">
        <f t="shared" si="1"/>
        <v>100</v>
      </c>
      <c r="E83" s="3">
        <f t="shared" si="2"/>
        <v>555.5555555555555</v>
      </c>
      <c r="F83" s="56">
        <f t="shared" si="3"/>
        <v>0.3</v>
      </c>
      <c r="G83" s="2">
        <f t="shared" si="4"/>
        <v>0.25</v>
      </c>
      <c r="H83" s="56">
        <f t="shared" si="6"/>
        <v>2207.38530464811</v>
      </c>
      <c r="I83" s="56">
        <f t="shared" si="5"/>
        <v>2327.862564037794</v>
      </c>
    </row>
    <row r="84" spans="1:9" ht="12.75">
      <c r="A84">
        <v>19</v>
      </c>
      <c r="B84">
        <f>IAQ!B34</f>
        <v>5</v>
      </c>
      <c r="C84" s="56">
        <f t="shared" si="0"/>
        <v>350</v>
      </c>
      <c r="D84" s="56">
        <f t="shared" si="1"/>
        <v>0</v>
      </c>
      <c r="E84" s="3">
        <f t="shared" si="2"/>
        <v>0</v>
      </c>
      <c r="F84" s="56">
        <f t="shared" si="3"/>
        <v>0.25</v>
      </c>
      <c r="G84" s="2">
        <f t="shared" si="4"/>
        <v>0.20833333333333334</v>
      </c>
      <c r="H84" s="56">
        <f t="shared" si="6"/>
        <v>2327.862564037794</v>
      </c>
      <c r="I84" s="56">
        <f t="shared" si="5"/>
        <v>1890.3609136802506</v>
      </c>
    </row>
    <row r="85" spans="1:9" ht="12.75">
      <c r="A85">
        <v>20</v>
      </c>
      <c r="B85">
        <f>IAQ!B35</f>
        <v>5</v>
      </c>
      <c r="C85" s="56">
        <f t="shared" si="0"/>
        <v>350</v>
      </c>
      <c r="D85" s="56">
        <f t="shared" si="1"/>
        <v>0</v>
      </c>
      <c r="E85" s="3">
        <f t="shared" si="2"/>
        <v>0</v>
      </c>
      <c r="F85" s="56">
        <f t="shared" si="3"/>
        <v>0.25</v>
      </c>
      <c r="G85" s="2">
        <f t="shared" si="4"/>
        <v>0.20833333333333334</v>
      </c>
      <c r="H85" s="56">
        <f t="shared" si="6"/>
        <v>1890.3609136802506</v>
      </c>
      <c r="I85" s="56">
        <f t="shared" si="5"/>
        <v>1549.634285786764</v>
      </c>
    </row>
    <row r="86" spans="1:9" ht="12.75">
      <c r="A86">
        <v>21</v>
      </c>
      <c r="B86">
        <f>IAQ!B36</f>
        <v>5</v>
      </c>
      <c r="C86" s="56">
        <f t="shared" si="0"/>
        <v>350</v>
      </c>
      <c r="D86" s="56">
        <f t="shared" si="1"/>
        <v>0</v>
      </c>
      <c r="E86" s="3">
        <f t="shared" si="2"/>
        <v>0</v>
      </c>
      <c r="F86" s="56">
        <f t="shared" si="3"/>
        <v>0.25</v>
      </c>
      <c r="G86" s="2">
        <f t="shared" si="4"/>
        <v>0.20833333333333334</v>
      </c>
      <c r="H86" s="56">
        <f t="shared" si="6"/>
        <v>1549.634285786764</v>
      </c>
      <c r="I86" s="56">
        <f t="shared" si="5"/>
        <v>1284.2761211700372</v>
      </c>
    </row>
    <row r="87" spans="1:9" ht="12.75">
      <c r="A87">
        <v>22</v>
      </c>
      <c r="B87">
        <f>IAQ!B37</f>
        <v>5</v>
      </c>
      <c r="C87" s="56">
        <f t="shared" si="0"/>
        <v>350</v>
      </c>
      <c r="D87" s="56">
        <f t="shared" si="1"/>
        <v>0</v>
      </c>
      <c r="E87" s="3">
        <f t="shared" si="2"/>
        <v>0</v>
      </c>
      <c r="F87" s="56">
        <f t="shared" si="3"/>
        <v>0.25</v>
      </c>
      <c r="G87" s="2">
        <f t="shared" si="4"/>
        <v>0.20833333333333334</v>
      </c>
      <c r="H87" s="56">
        <f t="shared" si="6"/>
        <v>1284.2761211700372</v>
      </c>
      <c r="I87" s="56">
        <f t="shared" si="5"/>
        <v>1077.6149747721397</v>
      </c>
    </row>
    <row r="88" spans="1:9" ht="12.75">
      <c r="A88">
        <v>23</v>
      </c>
      <c r="B88">
        <f>IAQ!B38</f>
        <v>5</v>
      </c>
      <c r="C88" s="56">
        <f t="shared" si="0"/>
        <v>350</v>
      </c>
      <c r="D88" s="56">
        <f t="shared" si="1"/>
        <v>0</v>
      </c>
      <c r="E88" s="3">
        <f t="shared" si="2"/>
        <v>0</v>
      </c>
      <c r="F88" s="56">
        <f t="shared" si="3"/>
        <v>0.25</v>
      </c>
      <c r="G88" s="2">
        <f t="shared" si="4"/>
        <v>0.20833333333333334</v>
      </c>
      <c r="H88" s="56">
        <f t="shared" si="6"/>
        <v>1077.6149747721397</v>
      </c>
      <c r="I88" s="56">
        <f t="shared" si="5"/>
        <v>916.667112127023</v>
      </c>
    </row>
    <row r="89" spans="1:9" ht="12.75">
      <c r="A89">
        <v>24</v>
      </c>
      <c r="B89">
        <f>IAQ!B39</f>
        <v>5</v>
      </c>
      <c r="C89" s="56">
        <f t="shared" si="0"/>
        <v>350</v>
      </c>
      <c r="D89" s="56">
        <f t="shared" si="1"/>
        <v>0</v>
      </c>
      <c r="E89" s="3">
        <f t="shared" si="2"/>
        <v>0</v>
      </c>
      <c r="F89" s="56">
        <f t="shared" si="3"/>
        <v>0.25</v>
      </c>
      <c r="G89" s="2">
        <f t="shared" si="4"/>
        <v>0.20833333333333334</v>
      </c>
      <c r="H89" s="56">
        <f t="shared" si="6"/>
        <v>916.667112127023</v>
      </c>
      <c r="I89" s="56">
        <f t="shared" si="5"/>
        <v>791.3207906653371</v>
      </c>
    </row>
  </sheetData>
  <printOptions gridLines="1"/>
  <pageMargins left="0.85" right="0.35433070866141736" top="0.7874015748031497" bottom="0.5905511811023623" header="0.5118110236220472" footer="0.5118110236220472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FaberMaunsell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Irving</dc:creator>
  <cp:keywords/>
  <dc:description/>
  <cp:lastModifiedBy>rhoward</cp:lastModifiedBy>
  <cp:lastPrinted>2004-10-25T16:03:15Z</cp:lastPrinted>
  <dcterms:created xsi:type="dcterms:W3CDTF">2004-07-15T15:38:14Z</dcterms:created>
  <dcterms:modified xsi:type="dcterms:W3CDTF">2005-03-04T15:53:47Z</dcterms:modified>
  <cp:category/>
  <cp:version/>
  <cp:contentType/>
  <cp:contentStatus/>
</cp:coreProperties>
</file>